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진행중 공사\[06-B-02] 의약학, 간호학 전문인 양성 스마트 교육공간 인프라 구축\"/>
    </mc:Choice>
  </mc:AlternateContent>
  <xr:revisionPtr revIDLastSave="0" documentId="13_ncr:1_{4AD8F76E-8BA1-4B0E-A696-9D5BDFFA9B62}" xr6:coauthVersionLast="47" xr6:coauthVersionMax="47" xr10:uidLastSave="{00000000-0000-0000-0000-000000000000}"/>
  <bookViews>
    <workbookView xWindow="720" yWindow="1635" windowWidth="26985" windowHeight="14265" firstSheet="2" activeTab="2" xr2:uid="{00000000-000D-0000-FFFF-FFFF00000000}"/>
  </bookViews>
  <sheets>
    <sheet name="설계서용지" sheetId="9" state="hidden" r:id="rId1"/>
    <sheet name="갑지A" sheetId="1" state="hidden" r:id="rId2"/>
    <sheet name="원가계산서" sheetId="2" r:id="rId3"/>
    <sheet name="공종별집계표" sheetId="3" r:id="rId4"/>
    <sheet name="공종별내역서" sheetId="4" r:id="rId5"/>
    <sheet name="일위대가목록" sheetId="5" state="hidden" r:id="rId6"/>
    <sheet name="일위대가" sheetId="6" state="hidden" r:id="rId7"/>
    <sheet name="단가대비표" sheetId="7" state="hidden" r:id="rId8"/>
    <sheet name="공사설정" sheetId="8" state="hidden" r:id="rId9"/>
  </sheets>
  <definedNames>
    <definedName name="_xlnm.Print_Area" localSheetId="4">공종별내역서!$A$1:$AW$202</definedName>
    <definedName name="_xlnm.Print_Area" localSheetId="3">공종별집계표!$A$1:$N$29</definedName>
    <definedName name="_xlnm.Print_Area" localSheetId="0">설계서용지!$B$1:$K$10</definedName>
    <definedName name="_xlnm.Print_Area" localSheetId="2">원가계산서!$A$1:$H$31</definedName>
    <definedName name="_xlnm.Print_Area" localSheetId="6">일위대가!$A$1:$M$287</definedName>
    <definedName name="_xlnm.Print_Area" localSheetId="5">일위대가목록!$A$1:$I$49</definedName>
    <definedName name="_xlnm.Print_Titles" localSheetId="4">공종별내역서!$1:$4</definedName>
    <definedName name="_xlnm.Print_Titles" localSheetId="3">공종별집계표!$1:$4</definedName>
    <definedName name="_xlnm.Print_Titles" localSheetId="7">단가대비표!$1:$4</definedName>
    <definedName name="_xlnm.Print_Titles" localSheetId="2">원가계산서!$1:$3</definedName>
    <definedName name="_xlnm.Print_Titles" localSheetId="6">일위대가!$1:$4</definedName>
    <definedName name="_xlnm.Print_Titles" localSheetId="5">일위대가목록!$1:$3</definedName>
  </definedNames>
  <calcPr calcId="191029" iterate="1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" i="7" l="1"/>
  <c r="A2" i="6"/>
  <c r="A2" i="5"/>
  <c r="A2" i="4"/>
  <c r="A2" i="3"/>
  <c r="A2" i="2"/>
  <c r="AE63" i="7" l="1"/>
  <c r="V63" i="7"/>
  <c r="U63" i="7"/>
  <c r="AE62" i="7"/>
  <c r="V62" i="7"/>
  <c r="U62" i="7"/>
  <c r="AE61" i="7"/>
  <c r="V61" i="7"/>
  <c r="U61" i="7"/>
  <c r="AE60" i="7"/>
  <c r="V60" i="7"/>
  <c r="U60" i="7"/>
  <c r="AE59" i="7"/>
  <c r="I268" i="6" s="1"/>
  <c r="J268" i="6" s="1"/>
  <c r="V59" i="7"/>
  <c r="U59" i="7"/>
  <c r="AE58" i="7"/>
  <c r="V58" i="7"/>
  <c r="U58" i="7"/>
  <c r="AE57" i="7"/>
  <c r="V57" i="7"/>
  <c r="U57" i="7"/>
  <c r="AE56" i="7"/>
  <c r="V56" i="7"/>
  <c r="U56" i="7"/>
  <c r="AE55" i="7"/>
  <c r="V55" i="7"/>
  <c r="U55" i="7"/>
  <c r="AE54" i="7"/>
  <c r="V54" i="7"/>
  <c r="U54" i="7"/>
  <c r="E24" i="6" s="1"/>
  <c r="K24" i="6" s="1"/>
  <c r="AE53" i="7"/>
  <c r="V53" i="7"/>
  <c r="G16" i="6" s="1"/>
  <c r="H16" i="6" s="1"/>
  <c r="U53" i="7"/>
  <c r="AE52" i="7"/>
  <c r="V52" i="7"/>
  <c r="U52" i="7"/>
  <c r="AE51" i="7"/>
  <c r="V51" i="7"/>
  <c r="U51" i="7"/>
  <c r="AE50" i="7"/>
  <c r="V50" i="7"/>
  <c r="U50" i="7"/>
  <c r="AE49" i="7"/>
  <c r="V49" i="7"/>
  <c r="U49" i="7"/>
  <c r="AE48" i="7"/>
  <c r="V48" i="7"/>
  <c r="U48" i="7"/>
  <c r="AE47" i="7"/>
  <c r="V47" i="7"/>
  <c r="U47" i="7"/>
  <c r="AE46" i="7"/>
  <c r="V46" i="7"/>
  <c r="U46" i="7"/>
  <c r="AE45" i="7"/>
  <c r="V45" i="7"/>
  <c r="U45" i="7"/>
  <c r="AE44" i="7"/>
  <c r="V44" i="7"/>
  <c r="U44" i="7"/>
  <c r="AE43" i="7"/>
  <c r="V43" i="7"/>
  <c r="U43" i="7"/>
  <c r="AE42" i="7"/>
  <c r="V42" i="7"/>
  <c r="U42" i="7"/>
  <c r="AE41" i="7"/>
  <c r="V41" i="7"/>
  <c r="U41" i="7"/>
  <c r="E278" i="6" s="1"/>
  <c r="AE40" i="7"/>
  <c r="V40" i="7"/>
  <c r="U40" i="7"/>
  <c r="AE39" i="7"/>
  <c r="V39" i="7"/>
  <c r="U39" i="7"/>
  <c r="E275" i="6" s="1"/>
  <c r="AE38" i="7"/>
  <c r="V38" i="7"/>
  <c r="G228" i="6" s="1"/>
  <c r="H228" i="6" s="1"/>
  <c r="U38" i="7"/>
  <c r="AE37" i="7"/>
  <c r="V37" i="7"/>
  <c r="U37" i="7"/>
  <c r="E283" i="6" s="1"/>
  <c r="AE36" i="7"/>
  <c r="V36" i="7"/>
  <c r="U36" i="7"/>
  <c r="E282" i="6" s="1"/>
  <c r="AE35" i="7"/>
  <c r="V35" i="7"/>
  <c r="U35" i="7"/>
  <c r="E227" i="6" s="1"/>
  <c r="AE34" i="7"/>
  <c r="V34" i="7"/>
  <c r="G244" i="6" s="1"/>
  <c r="H244" i="6" s="1"/>
  <c r="H247" i="6" s="1"/>
  <c r="F43" i="5" s="1"/>
  <c r="G250" i="6" s="1"/>
  <c r="H250" i="6" s="1"/>
  <c r="U34" i="7"/>
  <c r="E244" i="6" s="1"/>
  <c r="AE33" i="7"/>
  <c r="V33" i="7"/>
  <c r="U33" i="7"/>
  <c r="E274" i="6" s="1"/>
  <c r="AE32" i="7"/>
  <c r="V32" i="7"/>
  <c r="U32" i="7"/>
  <c r="E261" i="6" s="1"/>
  <c r="F261" i="6" s="1"/>
  <c r="AE31" i="7"/>
  <c r="V31" i="7"/>
  <c r="U31" i="7"/>
  <c r="E263" i="6" s="1"/>
  <c r="AE30" i="7"/>
  <c r="I276" i="6" s="1"/>
  <c r="J276" i="6" s="1"/>
  <c r="J279" i="6" s="1"/>
  <c r="G48" i="5" s="1"/>
  <c r="I93" i="6" s="1"/>
  <c r="J93" i="6" s="1"/>
  <c r="V30" i="7"/>
  <c r="G276" i="6" s="1"/>
  <c r="H276" i="6" s="1"/>
  <c r="U30" i="7"/>
  <c r="E276" i="6" s="1"/>
  <c r="AE29" i="7"/>
  <c r="I212" i="6" s="1"/>
  <c r="J212" i="6" s="1"/>
  <c r="V29" i="7"/>
  <c r="U29" i="7"/>
  <c r="E212" i="6" s="1"/>
  <c r="AE28" i="7"/>
  <c r="V28" i="7"/>
  <c r="U28" i="7"/>
  <c r="E150" i="6" s="1"/>
  <c r="AE27" i="7"/>
  <c r="V27" i="7"/>
  <c r="G264" i="6" s="1"/>
  <c r="H264" i="6" s="1"/>
  <c r="U27" i="7"/>
  <c r="E205" i="6" s="1"/>
  <c r="AE26" i="7"/>
  <c r="I98" i="6" s="1"/>
  <c r="J98" i="6" s="1"/>
  <c r="V26" i="7"/>
  <c r="U26" i="7"/>
  <c r="E98" i="6" s="1"/>
  <c r="AE25" i="7"/>
  <c r="V25" i="7"/>
  <c r="G69" i="6" s="1"/>
  <c r="H69" i="6" s="1"/>
  <c r="U25" i="7"/>
  <c r="E81" i="6" s="1"/>
  <c r="F81" i="6" s="1"/>
  <c r="AE24" i="7"/>
  <c r="V24" i="7"/>
  <c r="U24" i="7"/>
  <c r="AE23" i="7"/>
  <c r="I120" i="6" s="1"/>
  <c r="J120" i="6" s="1"/>
  <c r="V23" i="7"/>
  <c r="G120" i="6" s="1"/>
  <c r="H120" i="6" s="1"/>
  <c r="U23" i="7"/>
  <c r="AE22" i="7"/>
  <c r="V22" i="7"/>
  <c r="U22" i="7"/>
  <c r="AE21" i="7"/>
  <c r="V21" i="7"/>
  <c r="G108" i="6" s="1"/>
  <c r="H108" i="6" s="1"/>
  <c r="U21" i="7"/>
  <c r="E108" i="6" s="1"/>
  <c r="AE20" i="7"/>
  <c r="I107" i="6" s="1"/>
  <c r="J107" i="6" s="1"/>
  <c r="V20" i="7"/>
  <c r="G107" i="6" s="1"/>
  <c r="H107" i="6" s="1"/>
  <c r="U20" i="7"/>
  <c r="AE19" i="7"/>
  <c r="V19" i="7"/>
  <c r="U19" i="7"/>
  <c r="E105" i="6" s="1"/>
  <c r="F105" i="6" s="1"/>
  <c r="AE18" i="7"/>
  <c r="V18" i="7"/>
  <c r="U18" i="7"/>
  <c r="E104" i="6" s="1"/>
  <c r="AE17" i="7"/>
  <c r="I103" i="6" s="1"/>
  <c r="J103" i="6" s="1"/>
  <c r="V17" i="7"/>
  <c r="G103" i="6" s="1"/>
  <c r="H103" i="6" s="1"/>
  <c r="U17" i="7"/>
  <c r="AE16" i="7"/>
  <c r="I102" i="6" s="1"/>
  <c r="J102" i="6" s="1"/>
  <c r="V16" i="7"/>
  <c r="U16" i="7"/>
  <c r="E102" i="6" s="1"/>
  <c r="AE15" i="7"/>
  <c r="V15" i="7"/>
  <c r="U15" i="7"/>
  <c r="AE14" i="7"/>
  <c r="V14" i="7"/>
  <c r="G100" i="6" s="1"/>
  <c r="H100" i="6" s="1"/>
  <c r="U14" i="7"/>
  <c r="E100" i="6" s="1"/>
  <c r="AE13" i="7"/>
  <c r="V13" i="7"/>
  <c r="U13" i="7"/>
  <c r="E106" i="6" s="1"/>
  <c r="AE12" i="7"/>
  <c r="I114" i="6" s="1"/>
  <c r="J114" i="6" s="1"/>
  <c r="V12" i="7"/>
  <c r="U12" i="7"/>
  <c r="AE11" i="7"/>
  <c r="V11" i="7"/>
  <c r="U11" i="7"/>
  <c r="AE10" i="7"/>
  <c r="V10" i="7"/>
  <c r="U10" i="7"/>
  <c r="E191" i="6" s="1"/>
  <c r="F191" i="6" s="1"/>
  <c r="AE9" i="7"/>
  <c r="I197" i="6" s="1"/>
  <c r="J197" i="6" s="1"/>
  <c r="V9" i="7"/>
  <c r="U9" i="7"/>
  <c r="E197" i="6" s="1"/>
  <c r="AE8" i="7"/>
  <c r="V8" i="7"/>
  <c r="G200" i="6" s="1"/>
  <c r="H200" i="6" s="1"/>
  <c r="U8" i="7"/>
  <c r="E200" i="6" s="1"/>
  <c r="AE7" i="7"/>
  <c r="V7" i="7"/>
  <c r="U7" i="7"/>
  <c r="AE6" i="7"/>
  <c r="V6" i="7"/>
  <c r="U6" i="7"/>
  <c r="E74" i="6" s="1"/>
  <c r="F74" i="6" s="1"/>
  <c r="AE5" i="7"/>
  <c r="V5" i="7"/>
  <c r="U5" i="7"/>
  <c r="E14" i="6" s="1"/>
  <c r="F14" i="6" s="1"/>
  <c r="AE286" i="6"/>
  <c r="AE285" i="6"/>
  <c r="AE284" i="6"/>
  <c r="I284" i="6"/>
  <c r="J284" i="6" s="1"/>
  <c r="G284" i="6"/>
  <c r="H284" i="6" s="1"/>
  <c r="AE283" i="6"/>
  <c r="I283" i="6"/>
  <c r="J283" i="6" s="1"/>
  <c r="G283" i="6"/>
  <c r="H283" i="6" s="1"/>
  <c r="AE282" i="6"/>
  <c r="I282" i="6"/>
  <c r="J282" i="6" s="1"/>
  <c r="G282" i="6"/>
  <c r="H282" i="6" s="1"/>
  <c r="AE278" i="6"/>
  <c r="J278" i="6"/>
  <c r="I278" i="6"/>
  <c r="G278" i="6"/>
  <c r="H278" i="6" s="1"/>
  <c r="AE277" i="6"/>
  <c r="I277" i="6"/>
  <c r="J277" i="6" s="1"/>
  <c r="AE276" i="6"/>
  <c r="AE275" i="6"/>
  <c r="I275" i="6"/>
  <c r="J275" i="6" s="1"/>
  <c r="G275" i="6"/>
  <c r="H275" i="6" s="1"/>
  <c r="AE274" i="6"/>
  <c r="J274" i="6"/>
  <c r="I274" i="6"/>
  <c r="G274" i="6"/>
  <c r="H274" i="6" s="1"/>
  <c r="J270" i="6"/>
  <c r="H270" i="6"/>
  <c r="AE269" i="6"/>
  <c r="I269" i="6"/>
  <c r="J269" i="6" s="1"/>
  <c r="G269" i="6"/>
  <c r="H269" i="6" s="1"/>
  <c r="E270" i="6" s="1"/>
  <c r="E269" i="6"/>
  <c r="F269" i="6" s="1"/>
  <c r="AE268" i="6"/>
  <c r="H268" i="6"/>
  <c r="G268" i="6"/>
  <c r="E268" i="6"/>
  <c r="F268" i="6" s="1"/>
  <c r="AE264" i="6"/>
  <c r="I264" i="6"/>
  <c r="J264" i="6" s="1"/>
  <c r="AE263" i="6"/>
  <c r="I263" i="6"/>
  <c r="J263" i="6" s="1"/>
  <c r="G263" i="6"/>
  <c r="H263" i="6" s="1"/>
  <c r="AE262" i="6"/>
  <c r="I262" i="6"/>
  <c r="J262" i="6" s="1"/>
  <c r="G262" i="6"/>
  <c r="H262" i="6" s="1"/>
  <c r="AE261" i="6"/>
  <c r="I261" i="6"/>
  <c r="J261" i="6" s="1"/>
  <c r="G261" i="6"/>
  <c r="H261" i="6" s="1"/>
  <c r="J257" i="6"/>
  <c r="H257" i="6"/>
  <c r="AE256" i="6"/>
  <c r="I256" i="6"/>
  <c r="J256" i="6" s="1"/>
  <c r="G256" i="6"/>
  <c r="H256" i="6" s="1"/>
  <c r="E256" i="6"/>
  <c r="AE255" i="6"/>
  <c r="I255" i="6"/>
  <c r="J255" i="6" s="1"/>
  <c r="G255" i="6"/>
  <c r="E255" i="6"/>
  <c r="F255" i="6" s="1"/>
  <c r="AE251" i="6"/>
  <c r="AE250" i="6"/>
  <c r="J246" i="6"/>
  <c r="H246" i="6"/>
  <c r="AE245" i="6"/>
  <c r="I245" i="6"/>
  <c r="J245" i="6" s="1"/>
  <c r="H245" i="6"/>
  <c r="G245" i="6"/>
  <c r="AE244" i="6"/>
  <c r="I244" i="6"/>
  <c r="J244" i="6" s="1"/>
  <c r="J240" i="6"/>
  <c r="H240" i="6"/>
  <c r="AE239" i="6"/>
  <c r="J239" i="6"/>
  <c r="I239" i="6"/>
  <c r="G239" i="6"/>
  <c r="F239" i="6"/>
  <c r="E239" i="6"/>
  <c r="AE238" i="6"/>
  <c r="I238" i="6"/>
  <c r="J238" i="6" s="1"/>
  <c r="J241" i="6" s="1"/>
  <c r="G42" i="5" s="1"/>
  <c r="I251" i="6" s="1"/>
  <c r="J251" i="6" s="1"/>
  <c r="G238" i="6"/>
  <c r="H238" i="6" s="1"/>
  <c r="E238" i="6"/>
  <c r="F238" i="6" s="1"/>
  <c r="AE234" i="6"/>
  <c r="AE233" i="6"/>
  <c r="J229" i="6"/>
  <c r="H229" i="6"/>
  <c r="AE228" i="6"/>
  <c r="I228" i="6"/>
  <c r="J228" i="6" s="1"/>
  <c r="AE227" i="6"/>
  <c r="I227" i="6"/>
  <c r="J227" i="6" s="1"/>
  <c r="J230" i="6" s="1"/>
  <c r="G227" i="6"/>
  <c r="H227" i="6" s="1"/>
  <c r="F227" i="6"/>
  <c r="J223" i="6"/>
  <c r="H223" i="6"/>
  <c r="AE222" i="6"/>
  <c r="J222" i="6"/>
  <c r="I222" i="6"/>
  <c r="E222" i="6"/>
  <c r="F222" i="6" s="1"/>
  <c r="AE221" i="6"/>
  <c r="I221" i="6"/>
  <c r="J221" i="6" s="1"/>
  <c r="G221" i="6"/>
  <c r="E221" i="6"/>
  <c r="F221" i="6" s="1"/>
  <c r="AE220" i="6"/>
  <c r="I220" i="6"/>
  <c r="J220" i="6" s="1"/>
  <c r="E220" i="6"/>
  <c r="F220" i="6" s="1"/>
  <c r="AE219" i="6"/>
  <c r="I219" i="6"/>
  <c r="J219" i="6" s="1"/>
  <c r="J224" i="6" s="1"/>
  <c r="G39" i="5" s="1"/>
  <c r="I234" i="6" s="1"/>
  <c r="J234" i="6" s="1"/>
  <c r="G219" i="6"/>
  <c r="H219" i="6" s="1"/>
  <c r="E219" i="6"/>
  <c r="F219" i="6" s="1"/>
  <c r="J215" i="6"/>
  <c r="H215" i="6"/>
  <c r="AE214" i="6"/>
  <c r="I214" i="6"/>
  <c r="J214" i="6" s="1"/>
  <c r="G214" i="6"/>
  <c r="H214" i="6" s="1"/>
  <c r="E215" i="6" s="1"/>
  <c r="E214" i="6"/>
  <c r="F214" i="6" s="1"/>
  <c r="AE213" i="6"/>
  <c r="I213" i="6"/>
  <c r="J213" i="6" s="1"/>
  <c r="G213" i="6"/>
  <c r="H213" i="6" s="1"/>
  <c r="E213" i="6"/>
  <c r="F213" i="6" s="1"/>
  <c r="AE212" i="6"/>
  <c r="G212" i="6"/>
  <c r="H212" i="6" s="1"/>
  <c r="J208" i="6"/>
  <c r="H208" i="6"/>
  <c r="AE207" i="6"/>
  <c r="I207" i="6"/>
  <c r="F207" i="6"/>
  <c r="E207" i="6"/>
  <c r="AE206" i="6"/>
  <c r="I206" i="6"/>
  <c r="J206" i="6" s="1"/>
  <c r="G206" i="6"/>
  <c r="H206" i="6" s="1"/>
  <c r="E206" i="6"/>
  <c r="K206" i="6" s="1"/>
  <c r="AE205" i="6"/>
  <c r="I205" i="6"/>
  <c r="J205" i="6" s="1"/>
  <c r="AE204" i="6"/>
  <c r="G204" i="6"/>
  <c r="H204" i="6" s="1"/>
  <c r="E204" i="6"/>
  <c r="AE200" i="6"/>
  <c r="I200" i="6"/>
  <c r="J200" i="6" s="1"/>
  <c r="AE199" i="6"/>
  <c r="AE198" i="6"/>
  <c r="AE197" i="6"/>
  <c r="G197" i="6"/>
  <c r="H197" i="6" s="1"/>
  <c r="F197" i="6"/>
  <c r="AE193" i="6"/>
  <c r="I193" i="6"/>
  <c r="J193" i="6" s="1"/>
  <c r="G193" i="6"/>
  <c r="H193" i="6" s="1"/>
  <c r="AE192" i="6"/>
  <c r="AE191" i="6"/>
  <c r="I191" i="6"/>
  <c r="J191" i="6" s="1"/>
  <c r="G191" i="6"/>
  <c r="H191" i="6" s="1"/>
  <c r="AE187" i="6"/>
  <c r="AE183" i="6"/>
  <c r="J179" i="6"/>
  <c r="H179" i="6"/>
  <c r="J178" i="6"/>
  <c r="H178" i="6"/>
  <c r="AE177" i="6"/>
  <c r="J177" i="6"/>
  <c r="I177" i="6"/>
  <c r="G177" i="6"/>
  <c r="H177" i="6" s="1"/>
  <c r="E177" i="6"/>
  <c r="AE176" i="6"/>
  <c r="I176" i="6"/>
  <c r="J176" i="6" s="1"/>
  <c r="H176" i="6"/>
  <c r="G176" i="6"/>
  <c r="AE175" i="6"/>
  <c r="J175" i="6"/>
  <c r="I175" i="6"/>
  <c r="K175" i="6" s="1"/>
  <c r="H175" i="6"/>
  <c r="G175" i="6"/>
  <c r="E175" i="6"/>
  <c r="F175" i="6" s="1"/>
  <c r="AE174" i="6"/>
  <c r="I174" i="6"/>
  <c r="J174" i="6" s="1"/>
  <c r="G174" i="6"/>
  <c r="H174" i="6" s="1"/>
  <c r="E174" i="6"/>
  <c r="F174" i="6" s="1"/>
  <c r="J170" i="6"/>
  <c r="H170" i="6"/>
  <c r="J169" i="6"/>
  <c r="H169" i="6"/>
  <c r="AE168" i="6"/>
  <c r="I168" i="6"/>
  <c r="E168" i="6"/>
  <c r="F168" i="6" s="1"/>
  <c r="AE167" i="6"/>
  <c r="I167" i="6"/>
  <c r="J167" i="6" s="1"/>
  <c r="G167" i="6"/>
  <c r="H167" i="6" s="1"/>
  <c r="AE166" i="6"/>
  <c r="I166" i="6"/>
  <c r="J166" i="6" s="1"/>
  <c r="G166" i="6"/>
  <c r="H166" i="6" s="1"/>
  <c r="E166" i="6"/>
  <c r="F166" i="6" s="1"/>
  <c r="AE165" i="6"/>
  <c r="I165" i="6"/>
  <c r="J165" i="6" s="1"/>
  <c r="G165" i="6"/>
  <c r="H165" i="6" s="1"/>
  <c r="E165" i="6"/>
  <c r="F165" i="6" s="1"/>
  <c r="J161" i="6"/>
  <c r="H161" i="6"/>
  <c r="AE160" i="6"/>
  <c r="I160" i="6"/>
  <c r="J160" i="6" s="1"/>
  <c r="E160" i="6"/>
  <c r="F160" i="6" s="1"/>
  <c r="AE159" i="6"/>
  <c r="J159" i="6"/>
  <c r="I159" i="6"/>
  <c r="G159" i="6"/>
  <c r="H159" i="6" s="1"/>
  <c r="E159" i="6"/>
  <c r="K159" i="6" s="1"/>
  <c r="J155" i="6"/>
  <c r="H155" i="6"/>
  <c r="AE154" i="6"/>
  <c r="J154" i="6"/>
  <c r="J156" i="6" s="1"/>
  <c r="G29" i="5" s="1"/>
  <c r="I99" i="6" s="1"/>
  <c r="J99" i="6" s="1"/>
  <c r="I154" i="6"/>
  <c r="G154" i="6"/>
  <c r="H154" i="6" s="1"/>
  <c r="E154" i="6"/>
  <c r="K154" i="6" s="1"/>
  <c r="AE150" i="6"/>
  <c r="I150" i="6"/>
  <c r="J150" i="6" s="1"/>
  <c r="G150" i="6"/>
  <c r="H150" i="6" s="1"/>
  <c r="AE149" i="6"/>
  <c r="J149" i="6"/>
  <c r="I149" i="6"/>
  <c r="E149" i="6"/>
  <c r="F149" i="6" s="1"/>
  <c r="AE148" i="6"/>
  <c r="I148" i="6"/>
  <c r="J148" i="6" s="1"/>
  <c r="H148" i="6"/>
  <c r="G148" i="6"/>
  <c r="F148" i="6"/>
  <c r="E148" i="6"/>
  <c r="J144" i="6"/>
  <c r="H144" i="6"/>
  <c r="AE143" i="6"/>
  <c r="J143" i="6"/>
  <c r="I143" i="6"/>
  <c r="E143" i="6"/>
  <c r="F143" i="6" s="1"/>
  <c r="AE142" i="6"/>
  <c r="J142" i="6"/>
  <c r="J145" i="6" s="1"/>
  <c r="G27" i="5" s="1"/>
  <c r="I76" i="6" s="1"/>
  <c r="J76" i="6" s="1"/>
  <c r="I142" i="6"/>
  <c r="G142" i="6"/>
  <c r="H142" i="6" s="1"/>
  <c r="E142" i="6"/>
  <c r="F142" i="6" s="1"/>
  <c r="J138" i="6"/>
  <c r="H138" i="6"/>
  <c r="AE137" i="6"/>
  <c r="I137" i="6"/>
  <c r="J137" i="6" s="1"/>
  <c r="G137" i="6"/>
  <c r="H137" i="6" s="1"/>
  <c r="E137" i="6"/>
  <c r="K137" i="6" s="1"/>
  <c r="AE136" i="6"/>
  <c r="I136" i="6"/>
  <c r="J136" i="6" s="1"/>
  <c r="G136" i="6"/>
  <c r="H136" i="6" s="1"/>
  <c r="E136" i="6"/>
  <c r="F136" i="6" s="1"/>
  <c r="AE132" i="6"/>
  <c r="AE131" i="6"/>
  <c r="AE130" i="6"/>
  <c r="AE126" i="6"/>
  <c r="I126" i="6"/>
  <c r="J126" i="6" s="1"/>
  <c r="E126" i="6"/>
  <c r="F126" i="6" s="1"/>
  <c r="AE125" i="6"/>
  <c r="I125" i="6"/>
  <c r="J125" i="6" s="1"/>
  <c r="G125" i="6"/>
  <c r="K125" i="6" s="1"/>
  <c r="E125" i="6"/>
  <c r="F125" i="6" s="1"/>
  <c r="F127" i="6" s="1"/>
  <c r="E24" i="5" s="1"/>
  <c r="AE121" i="6"/>
  <c r="AE120" i="6"/>
  <c r="E120" i="6"/>
  <c r="AE116" i="6"/>
  <c r="I116" i="6"/>
  <c r="J116" i="6" s="1"/>
  <c r="E116" i="6"/>
  <c r="F116" i="6" s="1"/>
  <c r="AE115" i="6"/>
  <c r="I115" i="6"/>
  <c r="J115" i="6" s="1"/>
  <c r="G115" i="6"/>
  <c r="H115" i="6" s="1"/>
  <c r="E115" i="6"/>
  <c r="AE114" i="6"/>
  <c r="G114" i="6"/>
  <c r="H114" i="6" s="1"/>
  <c r="E114" i="6"/>
  <c r="AE110" i="6"/>
  <c r="AE109" i="6"/>
  <c r="I109" i="6"/>
  <c r="J109" i="6" s="1"/>
  <c r="G109" i="6"/>
  <c r="H109" i="6" s="1"/>
  <c r="E109" i="6"/>
  <c r="F109" i="6" s="1"/>
  <c r="AE108" i="6"/>
  <c r="I108" i="6"/>
  <c r="J108" i="6" s="1"/>
  <c r="F108" i="6"/>
  <c r="AE107" i="6"/>
  <c r="E107" i="6"/>
  <c r="AE106" i="6"/>
  <c r="J106" i="6"/>
  <c r="I106" i="6"/>
  <c r="G106" i="6"/>
  <c r="H106" i="6" s="1"/>
  <c r="F106" i="6"/>
  <c r="AE105" i="6"/>
  <c r="I105" i="6"/>
  <c r="J105" i="6" s="1"/>
  <c r="G105" i="6"/>
  <c r="AE104" i="6"/>
  <c r="I104" i="6"/>
  <c r="J104" i="6" s="1"/>
  <c r="G104" i="6"/>
  <c r="H104" i="6" s="1"/>
  <c r="F104" i="6"/>
  <c r="AE103" i="6"/>
  <c r="E103" i="6"/>
  <c r="F103" i="6" s="1"/>
  <c r="AE102" i="6"/>
  <c r="G102" i="6"/>
  <c r="H102" i="6" s="1"/>
  <c r="F102" i="6"/>
  <c r="AE101" i="6"/>
  <c r="I101" i="6"/>
  <c r="J101" i="6" s="1"/>
  <c r="G101" i="6"/>
  <c r="H101" i="6" s="1"/>
  <c r="E101" i="6"/>
  <c r="F101" i="6" s="1"/>
  <c r="L101" i="6" s="1"/>
  <c r="AE100" i="6"/>
  <c r="I100" i="6"/>
  <c r="J100" i="6" s="1"/>
  <c r="F100" i="6"/>
  <c r="AE99" i="6"/>
  <c r="AE98" i="6"/>
  <c r="G98" i="6"/>
  <c r="H98" i="6" s="1"/>
  <c r="F98" i="6"/>
  <c r="AE94" i="6"/>
  <c r="AE93" i="6"/>
  <c r="AE92" i="6"/>
  <c r="AE88" i="6"/>
  <c r="AE87" i="6"/>
  <c r="AE86" i="6"/>
  <c r="AE82" i="6"/>
  <c r="AE81" i="6"/>
  <c r="J81" i="6"/>
  <c r="I81" i="6"/>
  <c r="G81" i="6"/>
  <c r="H81" i="6" s="1"/>
  <c r="AE80" i="6"/>
  <c r="J80" i="6"/>
  <c r="I80" i="6"/>
  <c r="G80" i="6"/>
  <c r="H80" i="6" s="1"/>
  <c r="E80" i="6"/>
  <c r="F80" i="6" s="1"/>
  <c r="L80" i="6" s="1"/>
  <c r="AE76" i="6"/>
  <c r="AE75" i="6"/>
  <c r="I75" i="6"/>
  <c r="J75" i="6" s="1"/>
  <c r="G75" i="6"/>
  <c r="H75" i="6" s="1"/>
  <c r="AE74" i="6"/>
  <c r="I74" i="6"/>
  <c r="J74" i="6" s="1"/>
  <c r="J77" i="6" s="1"/>
  <c r="G17" i="5" s="1"/>
  <c r="G74" i="6"/>
  <c r="H74" i="6" s="1"/>
  <c r="AE70" i="6"/>
  <c r="AE69" i="6"/>
  <c r="J69" i="6"/>
  <c r="I69" i="6"/>
  <c r="AE68" i="6"/>
  <c r="I68" i="6"/>
  <c r="J68" i="6" s="1"/>
  <c r="G68" i="6"/>
  <c r="H68" i="6" s="1"/>
  <c r="E68" i="6"/>
  <c r="F65" i="6"/>
  <c r="AE64" i="6"/>
  <c r="I64" i="6"/>
  <c r="J64" i="6" s="1"/>
  <c r="J65" i="6" s="1"/>
  <c r="G15" i="5" s="1"/>
  <c r="F64" i="6"/>
  <c r="E64" i="6"/>
  <c r="AE60" i="6"/>
  <c r="I60" i="6"/>
  <c r="J60" i="6" s="1"/>
  <c r="E60" i="6"/>
  <c r="F60" i="6" s="1"/>
  <c r="AE59" i="6"/>
  <c r="I59" i="6"/>
  <c r="J59" i="6" s="1"/>
  <c r="G59" i="6"/>
  <c r="H59" i="6" s="1"/>
  <c r="J55" i="6"/>
  <c r="H55" i="6"/>
  <c r="AE54" i="6"/>
  <c r="I54" i="6"/>
  <c r="G54" i="6"/>
  <c r="H54" i="6" s="1"/>
  <c r="F54" i="6"/>
  <c r="E54" i="6"/>
  <c r="J50" i="6"/>
  <c r="H50" i="6"/>
  <c r="E50" i="6"/>
  <c r="AE49" i="6"/>
  <c r="J49" i="6"/>
  <c r="I49" i="6"/>
  <c r="G49" i="6"/>
  <c r="H49" i="6" s="1"/>
  <c r="F49" i="6"/>
  <c r="L49" i="6" s="1"/>
  <c r="E49" i="6"/>
  <c r="AE48" i="6"/>
  <c r="J48" i="6"/>
  <c r="I48" i="6"/>
  <c r="G48" i="6"/>
  <c r="H48" i="6" s="1"/>
  <c r="E48" i="6"/>
  <c r="F48" i="6" s="1"/>
  <c r="L48" i="6" s="1"/>
  <c r="H44" i="6"/>
  <c r="F44" i="6"/>
  <c r="AE43" i="6"/>
  <c r="I43" i="6"/>
  <c r="J43" i="6" s="1"/>
  <c r="G43" i="6"/>
  <c r="H43" i="6" s="1"/>
  <c r="E43" i="6"/>
  <c r="AE42" i="6"/>
  <c r="I42" i="6"/>
  <c r="G42" i="6"/>
  <c r="H42" i="6" s="1"/>
  <c r="E42" i="6"/>
  <c r="F42" i="6" s="1"/>
  <c r="J38" i="6"/>
  <c r="H38" i="6"/>
  <c r="AE37" i="6"/>
  <c r="I37" i="6"/>
  <c r="F37" i="6"/>
  <c r="E37" i="6"/>
  <c r="AE36" i="6"/>
  <c r="I36" i="6"/>
  <c r="J36" i="6" s="1"/>
  <c r="G36" i="6"/>
  <c r="H36" i="6" s="1"/>
  <c r="F36" i="6"/>
  <c r="E36" i="6"/>
  <c r="H32" i="6"/>
  <c r="F32" i="6"/>
  <c r="AE31" i="6"/>
  <c r="I31" i="6"/>
  <c r="J31" i="6" s="1"/>
  <c r="E31" i="6"/>
  <c r="F31" i="6" s="1"/>
  <c r="AE30" i="6"/>
  <c r="J30" i="6"/>
  <c r="I30" i="6"/>
  <c r="G30" i="6"/>
  <c r="H30" i="6" s="1"/>
  <c r="F30" i="6"/>
  <c r="E30" i="6"/>
  <c r="J26" i="6"/>
  <c r="H26" i="6"/>
  <c r="AE25" i="6"/>
  <c r="I25" i="6"/>
  <c r="J25" i="6" s="1"/>
  <c r="E25" i="6"/>
  <c r="F25" i="6" s="1"/>
  <c r="AE24" i="6"/>
  <c r="I24" i="6"/>
  <c r="J24" i="6" s="1"/>
  <c r="J27" i="6" s="1"/>
  <c r="G8" i="5" s="1"/>
  <c r="G24" i="6"/>
  <c r="H24" i="6" s="1"/>
  <c r="AE20" i="6"/>
  <c r="I20" i="6"/>
  <c r="J20" i="6" s="1"/>
  <c r="J21" i="6" s="1"/>
  <c r="G7" i="5" s="1"/>
  <c r="G20" i="6"/>
  <c r="H20" i="6" s="1"/>
  <c r="H21" i="6" s="1"/>
  <c r="F7" i="5" s="1"/>
  <c r="E20" i="6"/>
  <c r="AE16" i="6"/>
  <c r="I16" i="6"/>
  <c r="J16" i="6" s="1"/>
  <c r="E16" i="6"/>
  <c r="AE15" i="6"/>
  <c r="I15" i="6"/>
  <c r="J15" i="6" s="1"/>
  <c r="G15" i="6"/>
  <c r="H15" i="6" s="1"/>
  <c r="F15" i="6"/>
  <c r="L15" i="6" s="1"/>
  <c r="E15" i="6"/>
  <c r="AE14" i="6"/>
  <c r="I14" i="6"/>
  <c r="J14" i="6" s="1"/>
  <c r="G14" i="6"/>
  <c r="H14" i="6" s="1"/>
  <c r="AE10" i="6"/>
  <c r="J10" i="6"/>
  <c r="J11" i="6" s="1"/>
  <c r="G5" i="5" s="1"/>
  <c r="I10" i="6"/>
  <c r="E10" i="6"/>
  <c r="F10" i="6" s="1"/>
  <c r="F11" i="6" s="1"/>
  <c r="AE6" i="6"/>
  <c r="I6" i="6"/>
  <c r="J6" i="6" s="1"/>
  <c r="J7" i="6" s="1"/>
  <c r="G4" i="5" s="1"/>
  <c r="G6" i="6"/>
  <c r="H6" i="6" s="1"/>
  <c r="H7" i="6" s="1"/>
  <c r="F4" i="5" s="1"/>
  <c r="E6" i="6"/>
  <c r="F6" i="6" s="1"/>
  <c r="P49" i="5"/>
  <c r="P48" i="5"/>
  <c r="P47" i="5"/>
  <c r="P46" i="5"/>
  <c r="P45" i="5"/>
  <c r="P44" i="5"/>
  <c r="P43" i="5"/>
  <c r="P42" i="5"/>
  <c r="P41" i="5"/>
  <c r="P40" i="5"/>
  <c r="G40" i="5"/>
  <c r="I233" i="6" s="1"/>
  <c r="J233" i="6" s="1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10" i="5"/>
  <c r="P9" i="5"/>
  <c r="P8" i="5"/>
  <c r="P7" i="5"/>
  <c r="P6" i="5"/>
  <c r="P5" i="5"/>
  <c r="E5" i="5"/>
  <c r="P4" i="5"/>
  <c r="AY183" i="4"/>
  <c r="N183" i="4"/>
  <c r="AY182" i="4"/>
  <c r="N182" i="4"/>
  <c r="I14" i="3"/>
  <c r="J14" i="3" s="1"/>
  <c r="E14" i="3"/>
  <c r="F14" i="3" s="1"/>
  <c r="AY162" i="4"/>
  <c r="N162" i="4"/>
  <c r="AY161" i="4"/>
  <c r="N161" i="4"/>
  <c r="AY160" i="4"/>
  <c r="N160" i="4"/>
  <c r="AY142" i="4"/>
  <c r="N142" i="4"/>
  <c r="AY141" i="4"/>
  <c r="N141" i="4"/>
  <c r="AY140" i="4"/>
  <c r="N140" i="4"/>
  <c r="AY139" i="4"/>
  <c r="N139" i="4"/>
  <c r="AY138" i="4"/>
  <c r="N138" i="4"/>
  <c r="AY121" i="4"/>
  <c r="N121" i="4"/>
  <c r="AY120" i="4"/>
  <c r="N120" i="4"/>
  <c r="AY119" i="4"/>
  <c r="N119" i="4"/>
  <c r="AY118" i="4"/>
  <c r="N118" i="4"/>
  <c r="AY117" i="4"/>
  <c r="N117" i="4"/>
  <c r="AY116" i="4"/>
  <c r="N116" i="4"/>
  <c r="AY95" i="4"/>
  <c r="N95" i="4"/>
  <c r="AY94" i="4"/>
  <c r="N94" i="4"/>
  <c r="AY75" i="4"/>
  <c r="N75" i="4"/>
  <c r="AY74" i="4"/>
  <c r="N74" i="4"/>
  <c r="AY73" i="4"/>
  <c r="N73" i="4"/>
  <c r="AY72" i="4"/>
  <c r="N72" i="4"/>
  <c r="AY51" i="4"/>
  <c r="N51" i="4"/>
  <c r="AY50" i="4"/>
  <c r="N50" i="4"/>
  <c r="AY37" i="4"/>
  <c r="N37" i="4"/>
  <c r="AY36" i="4"/>
  <c r="N36" i="4"/>
  <c r="AY35" i="4"/>
  <c r="N35" i="4"/>
  <c r="AY34" i="4"/>
  <c r="N34" i="4"/>
  <c r="AY33" i="4"/>
  <c r="N33" i="4"/>
  <c r="AY32" i="4"/>
  <c r="N32" i="4"/>
  <c r="AY31" i="4"/>
  <c r="N31" i="4"/>
  <c r="AY30" i="4"/>
  <c r="N30" i="4"/>
  <c r="AY29" i="4"/>
  <c r="N29" i="4"/>
  <c r="AY28" i="4"/>
  <c r="N28" i="4"/>
  <c r="AY9" i="4"/>
  <c r="N9" i="4"/>
  <c r="AY8" i="4"/>
  <c r="N8" i="4"/>
  <c r="AY7" i="4"/>
  <c r="N7" i="4"/>
  <c r="AY6" i="4"/>
  <c r="N6" i="4"/>
  <c r="S14" i="3"/>
  <c r="S13" i="3"/>
  <c r="S12" i="3"/>
  <c r="S11" i="3"/>
  <c r="S10" i="3"/>
  <c r="S9" i="3"/>
  <c r="S8" i="3"/>
  <c r="S7" i="3"/>
  <c r="S6" i="3"/>
  <c r="E31" i="2"/>
  <c r="E29" i="2"/>
  <c r="E6" i="2"/>
  <c r="E5" i="2"/>
  <c r="L74" i="6" l="1"/>
  <c r="J271" i="6"/>
  <c r="G47" i="5" s="1"/>
  <c r="I94" i="6" s="1"/>
  <c r="J94" i="6" s="1"/>
  <c r="K150" i="6"/>
  <c r="F150" i="6"/>
  <c r="L150" i="6" s="1"/>
  <c r="L81" i="6"/>
  <c r="H61" i="6"/>
  <c r="F14" i="5" s="1"/>
  <c r="J258" i="6"/>
  <c r="G45" i="5" s="1"/>
  <c r="I88" i="6" s="1"/>
  <c r="J88" i="6" s="1"/>
  <c r="K120" i="6"/>
  <c r="K107" i="6"/>
  <c r="G143" i="6"/>
  <c r="H143" i="6" s="1"/>
  <c r="E144" i="6" s="1"/>
  <c r="F144" i="6" s="1"/>
  <c r="I204" i="6"/>
  <c r="J204" i="6" s="1"/>
  <c r="H271" i="6"/>
  <c r="F47" i="5" s="1"/>
  <c r="G94" i="6" s="1"/>
  <c r="H94" i="6" s="1"/>
  <c r="G37" i="6"/>
  <c r="H37" i="6" s="1"/>
  <c r="E38" i="6" s="1"/>
  <c r="J216" i="6"/>
  <c r="G38" i="5" s="1"/>
  <c r="I285" i="6" s="1"/>
  <c r="J285" i="6" s="1"/>
  <c r="J287" i="6" s="1"/>
  <c r="G49" i="5" s="1"/>
  <c r="I132" i="6" s="1"/>
  <c r="J132" i="6" s="1"/>
  <c r="G168" i="6"/>
  <c r="H168" i="6" s="1"/>
  <c r="E169" i="6" s="1"/>
  <c r="G205" i="6"/>
  <c r="H205" i="6" s="1"/>
  <c r="H209" i="6" s="1"/>
  <c r="F37" i="5" s="1"/>
  <c r="G86" i="6" s="1"/>
  <c r="H86" i="6" s="1"/>
  <c r="K268" i="6"/>
  <c r="G126" i="6"/>
  <c r="H126" i="6" s="1"/>
  <c r="K114" i="6"/>
  <c r="G25" i="6"/>
  <c r="F206" i="6"/>
  <c r="L206" i="6" s="1"/>
  <c r="G10" i="6"/>
  <c r="H10" i="6" s="1"/>
  <c r="H11" i="6" s="1"/>
  <c r="F5" i="5" s="1"/>
  <c r="F151" i="6"/>
  <c r="K256" i="6"/>
  <c r="L269" i="6"/>
  <c r="F256" i="6"/>
  <c r="L256" i="6" s="1"/>
  <c r="K282" i="6"/>
  <c r="H45" i="6"/>
  <c r="F11" i="5" s="1"/>
  <c r="E59" i="6"/>
  <c r="F59" i="6" s="1"/>
  <c r="L59" i="6" s="1"/>
  <c r="J151" i="6"/>
  <c r="G28" i="5" s="1"/>
  <c r="I121" i="6" s="1"/>
  <c r="J121" i="6" s="1"/>
  <c r="J122" i="6" s="1"/>
  <c r="G23" i="5" s="1"/>
  <c r="I11" i="3" s="1"/>
  <c r="J11" i="3" s="1"/>
  <c r="L148" i="6"/>
  <c r="G160" i="6"/>
  <c r="H160" i="6" s="1"/>
  <c r="K30" i="6"/>
  <c r="K43" i="6"/>
  <c r="E75" i="6"/>
  <c r="J162" i="6"/>
  <c r="G30" i="5" s="1"/>
  <c r="I110" i="6" s="1"/>
  <c r="J110" i="6" s="1"/>
  <c r="J180" i="6"/>
  <c r="G32" i="5" s="1"/>
  <c r="I187" i="6" s="1"/>
  <c r="J187" i="6" s="1"/>
  <c r="J188" i="6" s="1"/>
  <c r="G34" i="5" s="1"/>
  <c r="I192" i="6" s="1"/>
  <c r="J192" i="6" s="1"/>
  <c r="E193" i="6"/>
  <c r="F193" i="6" s="1"/>
  <c r="G220" i="6"/>
  <c r="K220" i="6" s="1"/>
  <c r="L106" i="6"/>
  <c r="J139" i="6"/>
  <c r="G26" i="5" s="1"/>
  <c r="I70" i="6" s="1"/>
  <c r="J70" i="6" s="1"/>
  <c r="K136" i="6"/>
  <c r="L175" i="6"/>
  <c r="G207" i="6"/>
  <c r="H207" i="6" s="1"/>
  <c r="J17" i="6"/>
  <c r="G6" i="5" s="1"/>
  <c r="G116" i="6"/>
  <c r="G149" i="6"/>
  <c r="H149" i="6" s="1"/>
  <c r="L149" i="6" s="1"/>
  <c r="H265" i="6"/>
  <c r="F46" i="5" s="1"/>
  <c r="G87" i="6" s="1"/>
  <c r="H87" i="6" s="1"/>
  <c r="K15" i="6"/>
  <c r="G60" i="6"/>
  <c r="H60" i="6" s="1"/>
  <c r="F137" i="6"/>
  <c r="L137" i="6" s="1"/>
  <c r="J265" i="6"/>
  <c r="G46" i="5" s="1"/>
  <c r="I87" i="6" s="1"/>
  <c r="J87" i="6" s="1"/>
  <c r="I44" i="6"/>
  <c r="F107" i="6"/>
  <c r="L107" i="6" s="1"/>
  <c r="F120" i="6"/>
  <c r="L120" i="6" s="1"/>
  <c r="G31" i="6"/>
  <c r="H31" i="6" s="1"/>
  <c r="L31" i="6" s="1"/>
  <c r="E176" i="6"/>
  <c r="F176" i="6" s="1"/>
  <c r="I8" i="3"/>
  <c r="J8" i="3" s="1"/>
  <c r="G64" i="6"/>
  <c r="H64" i="6" s="1"/>
  <c r="L64" i="6" s="1"/>
  <c r="J51" i="6"/>
  <c r="G12" i="5" s="1"/>
  <c r="G222" i="6"/>
  <c r="H222" i="6" s="1"/>
  <c r="L222" i="6" s="1"/>
  <c r="L213" i="6"/>
  <c r="G277" i="6"/>
  <c r="H277" i="6" s="1"/>
  <c r="H279" i="6" s="1"/>
  <c r="F48" i="5" s="1"/>
  <c r="G93" i="6" s="1"/>
  <c r="H93" i="6" s="1"/>
  <c r="L166" i="6"/>
  <c r="K36" i="6"/>
  <c r="F154" i="6"/>
  <c r="L154" i="6" s="1"/>
  <c r="K177" i="6"/>
  <c r="L142" i="6"/>
  <c r="L36" i="6"/>
  <c r="F204" i="6"/>
  <c r="E167" i="6"/>
  <c r="F167" i="6" s="1"/>
  <c r="L167" i="6" s="1"/>
  <c r="L109" i="6"/>
  <c r="H230" i="6"/>
  <c r="F40" i="5" s="1"/>
  <c r="G233" i="6" s="1"/>
  <c r="H233" i="6" s="1"/>
  <c r="E69" i="6"/>
  <c r="H125" i="6"/>
  <c r="L125" i="6" s="1"/>
  <c r="I6" i="3"/>
  <c r="J6" i="3" s="1"/>
  <c r="G14" i="3"/>
  <c r="G8" i="3"/>
  <c r="H8" i="3" s="1"/>
  <c r="K44" i="6"/>
  <c r="J44" i="6"/>
  <c r="L44" i="6" s="1"/>
  <c r="F7" i="6"/>
  <c r="L6" i="6"/>
  <c r="K16" i="6"/>
  <c r="F16" i="6"/>
  <c r="L16" i="6" s="1"/>
  <c r="K103" i="6"/>
  <c r="E28" i="5"/>
  <c r="J235" i="6"/>
  <c r="G41" i="5" s="1"/>
  <c r="I286" i="6" s="1"/>
  <c r="J286" i="6" s="1"/>
  <c r="K50" i="6"/>
  <c r="F50" i="6"/>
  <c r="F61" i="6"/>
  <c r="L98" i="6"/>
  <c r="L108" i="6"/>
  <c r="K116" i="6"/>
  <c r="H116" i="6"/>
  <c r="F215" i="6"/>
  <c r="L215" i="6" s="1"/>
  <c r="K215" i="6"/>
  <c r="F212" i="6"/>
  <c r="K212" i="6"/>
  <c r="K6" i="6"/>
  <c r="H17" i="6"/>
  <c r="F6" i="5" s="1"/>
  <c r="L14" i="6"/>
  <c r="J42" i="6"/>
  <c r="K42" i="6"/>
  <c r="J111" i="6"/>
  <c r="G21" i="5" s="1"/>
  <c r="L204" i="6"/>
  <c r="K14" i="6"/>
  <c r="L30" i="6"/>
  <c r="F33" i="6"/>
  <c r="I82" i="6"/>
  <c r="J82" i="6" s="1"/>
  <c r="J83" i="6" s="1"/>
  <c r="G18" i="5" s="1"/>
  <c r="L102" i="6"/>
  <c r="L104" i="6"/>
  <c r="L143" i="6"/>
  <c r="K200" i="6"/>
  <c r="F200" i="6"/>
  <c r="L200" i="6" s="1"/>
  <c r="K20" i="6"/>
  <c r="F20" i="6"/>
  <c r="J37" i="6"/>
  <c r="J39" i="6" s="1"/>
  <c r="G10" i="5" s="1"/>
  <c r="J61" i="6"/>
  <c r="G14" i="5" s="1"/>
  <c r="L100" i="6"/>
  <c r="K115" i="6"/>
  <c r="F115" i="6"/>
  <c r="L115" i="6" s="1"/>
  <c r="H180" i="6"/>
  <c r="F32" i="5" s="1"/>
  <c r="G187" i="6" s="1"/>
  <c r="H187" i="6" s="1"/>
  <c r="H188" i="6" s="1"/>
  <c r="F34" i="5" s="1"/>
  <c r="G192" i="6" s="1"/>
  <c r="H192" i="6" s="1"/>
  <c r="H194" i="6" s="1"/>
  <c r="F35" i="5" s="1"/>
  <c r="G130" i="6" s="1"/>
  <c r="H130" i="6" s="1"/>
  <c r="E178" i="6"/>
  <c r="E179" i="6"/>
  <c r="E55" i="6"/>
  <c r="H56" i="6"/>
  <c r="F13" i="5" s="1"/>
  <c r="J127" i="6"/>
  <c r="G24" i="5" s="1"/>
  <c r="I12" i="3" s="1"/>
  <c r="J12" i="3" s="1"/>
  <c r="L165" i="6"/>
  <c r="L227" i="6"/>
  <c r="K205" i="6"/>
  <c r="F205" i="6"/>
  <c r="L205" i="6" s="1"/>
  <c r="J54" i="6"/>
  <c r="J56" i="6" s="1"/>
  <c r="G13" i="5" s="1"/>
  <c r="K54" i="6"/>
  <c r="K68" i="6"/>
  <c r="F68" i="6"/>
  <c r="H105" i="6"/>
  <c r="L105" i="6" s="1"/>
  <c r="K105" i="6"/>
  <c r="L10" i="6"/>
  <c r="L54" i="6"/>
  <c r="L103" i="6"/>
  <c r="L126" i="6"/>
  <c r="H156" i="6"/>
  <c r="F29" i="5" s="1"/>
  <c r="G99" i="6" s="1"/>
  <c r="H99" i="6" s="1"/>
  <c r="E155" i="6"/>
  <c r="H139" i="6"/>
  <c r="F26" i="5" s="1"/>
  <c r="G70" i="6" s="1"/>
  <c r="H70" i="6" s="1"/>
  <c r="H71" i="6" s="1"/>
  <c r="F16" i="5" s="1"/>
  <c r="L197" i="6"/>
  <c r="L214" i="6"/>
  <c r="L219" i="6"/>
  <c r="K221" i="6"/>
  <c r="H221" i="6"/>
  <c r="L221" i="6" s="1"/>
  <c r="K270" i="6"/>
  <c r="F270" i="6"/>
  <c r="K102" i="6"/>
  <c r="K261" i="6"/>
  <c r="K48" i="6"/>
  <c r="K60" i="6"/>
  <c r="K74" i="6"/>
  <c r="K80" i="6"/>
  <c r="E138" i="6"/>
  <c r="K142" i="6"/>
  <c r="K148" i="6"/>
  <c r="H216" i="6"/>
  <c r="F38" i="5" s="1"/>
  <c r="G285" i="6" s="1"/>
  <c r="H285" i="6" s="1"/>
  <c r="F282" i="6"/>
  <c r="K126" i="6"/>
  <c r="L191" i="6"/>
  <c r="L193" i="6"/>
  <c r="K207" i="6"/>
  <c r="J207" i="6"/>
  <c r="L207" i="6" s="1"/>
  <c r="L261" i="6"/>
  <c r="K197" i="6"/>
  <c r="K106" i="6"/>
  <c r="K108" i="6"/>
  <c r="K81" i="6"/>
  <c r="K274" i="6"/>
  <c r="F274" i="6"/>
  <c r="K283" i="6"/>
  <c r="K278" i="6"/>
  <c r="F278" i="6"/>
  <c r="L278" i="6" s="1"/>
  <c r="F24" i="6"/>
  <c r="F43" i="6"/>
  <c r="K49" i="6"/>
  <c r="F159" i="6"/>
  <c r="J168" i="6"/>
  <c r="J171" i="6" s="1"/>
  <c r="G31" i="5" s="1"/>
  <c r="I183" i="6" s="1"/>
  <c r="J183" i="6" s="1"/>
  <c r="J184" i="6" s="1"/>
  <c r="G33" i="5" s="1"/>
  <c r="I198" i="6" s="1"/>
  <c r="J198" i="6" s="1"/>
  <c r="J201" i="6" s="1"/>
  <c r="G36" i="5" s="1"/>
  <c r="I131" i="6" s="1"/>
  <c r="J131" i="6" s="1"/>
  <c r="F177" i="6"/>
  <c r="L177" i="6" s="1"/>
  <c r="L238" i="6"/>
  <c r="K165" i="6"/>
  <c r="K214" i="6"/>
  <c r="H241" i="6"/>
  <c r="F42" i="5" s="1"/>
  <c r="G251" i="6" s="1"/>
  <c r="H251" i="6" s="1"/>
  <c r="H252" i="6" s="1"/>
  <c r="F44" i="5" s="1"/>
  <c r="G199" i="6" s="1"/>
  <c r="H199" i="6" s="1"/>
  <c r="L174" i="6"/>
  <c r="J194" i="6"/>
  <c r="G35" i="5" s="1"/>
  <c r="I130" i="6" s="1"/>
  <c r="J130" i="6" s="1"/>
  <c r="E208" i="6"/>
  <c r="K100" i="6"/>
  <c r="K104" i="6"/>
  <c r="K98" i="6"/>
  <c r="F276" i="6"/>
  <c r="L276" i="6" s="1"/>
  <c r="K276" i="6"/>
  <c r="K244" i="6"/>
  <c r="E284" i="6"/>
  <c r="E245" i="6"/>
  <c r="E262" i="6"/>
  <c r="E228" i="6"/>
  <c r="K109" i="6"/>
  <c r="K191" i="6"/>
  <c r="H220" i="6"/>
  <c r="L220" i="6" s="1"/>
  <c r="F244" i="6"/>
  <c r="F283" i="6"/>
  <c r="L283" i="6" s="1"/>
  <c r="F114" i="6"/>
  <c r="K166" i="6"/>
  <c r="K193" i="6"/>
  <c r="L42" i="6"/>
  <c r="L60" i="6"/>
  <c r="J71" i="6"/>
  <c r="G16" i="5" s="1"/>
  <c r="L176" i="6"/>
  <c r="J247" i="6"/>
  <c r="G43" i="5" s="1"/>
  <c r="I250" i="6" s="1"/>
  <c r="J250" i="6" s="1"/>
  <c r="J252" i="6" s="1"/>
  <c r="G44" i="5" s="1"/>
  <c r="I199" i="6" s="1"/>
  <c r="J199" i="6" s="1"/>
  <c r="L255" i="6"/>
  <c r="E264" i="6"/>
  <c r="E277" i="6"/>
  <c r="K263" i="6"/>
  <c r="K227" i="6"/>
  <c r="F275" i="6"/>
  <c r="L275" i="6" s="1"/>
  <c r="K275" i="6"/>
  <c r="H51" i="6"/>
  <c r="F12" i="5" s="1"/>
  <c r="J117" i="6"/>
  <c r="G22" i="5" s="1"/>
  <c r="L136" i="6"/>
  <c r="H145" i="6"/>
  <c r="F27" i="5" s="1"/>
  <c r="K213" i="6"/>
  <c r="K255" i="6"/>
  <c r="H255" i="6"/>
  <c r="K269" i="6"/>
  <c r="E15" i="5"/>
  <c r="K101" i="6"/>
  <c r="K174" i="6"/>
  <c r="K239" i="6"/>
  <c r="H239" i="6"/>
  <c r="E240" i="6" s="1"/>
  <c r="F263" i="6"/>
  <c r="L263" i="6" s="1"/>
  <c r="L268" i="6"/>
  <c r="K219" i="6"/>
  <c r="K238" i="6"/>
  <c r="H162" i="6" l="1"/>
  <c r="F30" i="5" s="1"/>
  <c r="G110" i="6" s="1"/>
  <c r="H110" i="6" s="1"/>
  <c r="E161" i="6"/>
  <c r="L160" i="6"/>
  <c r="K160" i="6"/>
  <c r="H65" i="6"/>
  <c r="H127" i="6"/>
  <c r="F24" i="5" s="1"/>
  <c r="I9" i="3"/>
  <c r="J9" i="3" s="1"/>
  <c r="K25" i="6"/>
  <c r="H25" i="6"/>
  <c r="K37" i="6"/>
  <c r="H171" i="6"/>
  <c r="F31" i="5" s="1"/>
  <c r="G183" i="6" s="1"/>
  <c r="H183" i="6" s="1"/>
  <c r="H184" i="6" s="1"/>
  <c r="F33" i="5" s="1"/>
  <c r="G198" i="6" s="1"/>
  <c r="H198" i="6" s="1"/>
  <c r="H201" i="6" s="1"/>
  <c r="F36" i="5" s="1"/>
  <c r="G131" i="6" s="1"/>
  <c r="H131" i="6" s="1"/>
  <c r="K59" i="6"/>
  <c r="E170" i="6"/>
  <c r="K170" i="6" s="1"/>
  <c r="G6" i="3"/>
  <c r="H6" i="3" s="1"/>
  <c r="K64" i="6"/>
  <c r="F75" i="6"/>
  <c r="L75" i="6" s="1"/>
  <c r="K75" i="6"/>
  <c r="H39" i="6"/>
  <c r="F10" i="5" s="1"/>
  <c r="K176" i="6"/>
  <c r="K144" i="6"/>
  <c r="H5" i="5"/>
  <c r="I32" i="6"/>
  <c r="G92" i="6"/>
  <c r="H92" i="6" s="1"/>
  <c r="H95" i="6" s="1"/>
  <c r="F20" i="5" s="1"/>
  <c r="K69" i="6"/>
  <c r="F69" i="6"/>
  <c r="L69" i="6" s="1"/>
  <c r="F17" i="6"/>
  <c r="L17" i="6" s="1"/>
  <c r="K222" i="6"/>
  <c r="K167" i="6"/>
  <c r="K143" i="6"/>
  <c r="H33" i="6"/>
  <c r="F9" i="5" s="1"/>
  <c r="K149" i="6"/>
  <c r="K31" i="6"/>
  <c r="K168" i="6"/>
  <c r="K10" i="6"/>
  <c r="H151" i="6"/>
  <c r="K204" i="6"/>
  <c r="L168" i="6"/>
  <c r="L11" i="6"/>
  <c r="K240" i="6"/>
  <c r="F240" i="6"/>
  <c r="H111" i="6"/>
  <c r="F21" i="5" s="1"/>
  <c r="G76" i="6"/>
  <c r="H76" i="6" s="1"/>
  <c r="H77" i="6" s="1"/>
  <c r="F17" i="5" s="1"/>
  <c r="G82" i="6"/>
  <c r="H82" i="6" s="1"/>
  <c r="H83" i="6" s="1"/>
  <c r="F18" i="5" s="1"/>
  <c r="F170" i="6"/>
  <c r="L170" i="6" s="1"/>
  <c r="F279" i="6"/>
  <c r="L274" i="6"/>
  <c r="J209" i="6"/>
  <c r="G37" i="5" s="1"/>
  <c r="H24" i="5"/>
  <c r="L50" i="6"/>
  <c r="F51" i="6"/>
  <c r="L159" i="6"/>
  <c r="F162" i="6"/>
  <c r="H224" i="6"/>
  <c r="F39" i="5" s="1"/>
  <c r="G234" i="6" s="1"/>
  <c r="H234" i="6" s="1"/>
  <c r="H235" i="6" s="1"/>
  <c r="F41" i="5" s="1"/>
  <c r="G286" i="6" s="1"/>
  <c r="H286" i="6" s="1"/>
  <c r="H287" i="6" s="1"/>
  <c r="F49" i="5" s="1"/>
  <c r="G132" i="6" s="1"/>
  <c r="H132" i="6" s="1"/>
  <c r="H133" i="6" s="1"/>
  <c r="F25" i="5" s="1"/>
  <c r="G13" i="3" s="1"/>
  <c r="H13" i="3" s="1"/>
  <c r="F178" i="6"/>
  <c r="K178" i="6"/>
  <c r="F145" i="6"/>
  <c r="L144" i="6"/>
  <c r="L212" i="6"/>
  <c r="F216" i="6"/>
  <c r="L68" i="6"/>
  <c r="K38" i="6"/>
  <c r="F38" i="6"/>
  <c r="E257" i="6"/>
  <c r="H258" i="6"/>
  <c r="F45" i="5" s="1"/>
  <c r="G88" i="6" s="1"/>
  <c r="H88" i="6" s="1"/>
  <c r="H89" i="6" s="1"/>
  <c r="F19" i="5" s="1"/>
  <c r="K228" i="6"/>
  <c r="F228" i="6"/>
  <c r="J133" i="6"/>
  <c r="G25" i="5" s="1"/>
  <c r="I13" i="3" s="1"/>
  <c r="J13" i="3" s="1"/>
  <c r="L127" i="6"/>
  <c r="H117" i="6"/>
  <c r="F22" i="5" s="1"/>
  <c r="L116" i="6"/>
  <c r="F179" i="6"/>
  <c r="L179" i="6" s="1"/>
  <c r="K179" i="6"/>
  <c r="E223" i="6"/>
  <c r="F161" i="6"/>
  <c r="L161" i="6" s="1"/>
  <c r="K161" i="6"/>
  <c r="K277" i="6"/>
  <c r="F277" i="6"/>
  <c r="L277" i="6" s="1"/>
  <c r="L43" i="6"/>
  <c r="F45" i="6"/>
  <c r="J45" i="6"/>
  <c r="G11" i="5" s="1"/>
  <c r="H14" i="3"/>
  <c r="L14" i="3" s="1"/>
  <c r="K14" i="3"/>
  <c r="L282" i="6"/>
  <c r="K32" i="6"/>
  <c r="J32" i="6"/>
  <c r="K208" i="6"/>
  <c r="F208" i="6"/>
  <c r="L208" i="6" s="1"/>
  <c r="K262" i="6"/>
  <c r="F262" i="6"/>
  <c r="L239" i="6"/>
  <c r="K264" i="6"/>
  <c r="F264" i="6"/>
  <c r="L264" i="6" s="1"/>
  <c r="F117" i="6"/>
  <c r="L114" i="6"/>
  <c r="K245" i="6"/>
  <c r="F245" i="6"/>
  <c r="L245" i="6" s="1"/>
  <c r="L24" i="6"/>
  <c r="F21" i="6"/>
  <c r="L20" i="6"/>
  <c r="L37" i="6"/>
  <c r="K284" i="6"/>
  <c r="F284" i="6"/>
  <c r="L284" i="6" s="1"/>
  <c r="L270" i="6"/>
  <c r="F271" i="6"/>
  <c r="E121" i="6"/>
  <c r="E246" i="6"/>
  <c r="L244" i="6"/>
  <c r="F138" i="6"/>
  <c r="K138" i="6"/>
  <c r="F155" i="6"/>
  <c r="K155" i="6"/>
  <c r="E9" i="5"/>
  <c r="F209" i="6"/>
  <c r="E4" i="5"/>
  <c r="L7" i="6"/>
  <c r="K169" i="6"/>
  <c r="F169" i="6"/>
  <c r="K55" i="6"/>
  <c r="F55" i="6"/>
  <c r="L61" i="6"/>
  <c r="E14" i="5"/>
  <c r="E8" i="3"/>
  <c r="E6" i="5" l="1"/>
  <c r="F15" i="5"/>
  <c r="L65" i="6"/>
  <c r="G9" i="3"/>
  <c r="H9" i="3" s="1"/>
  <c r="G10" i="3"/>
  <c r="H10" i="3" s="1"/>
  <c r="E26" i="6"/>
  <c r="H27" i="6"/>
  <c r="F8" i="5" s="1"/>
  <c r="L25" i="6"/>
  <c r="F28" i="5"/>
  <c r="L151" i="6"/>
  <c r="L279" i="6"/>
  <c r="E48" i="5"/>
  <c r="F139" i="6"/>
  <c r="L138" i="6"/>
  <c r="E22" i="5"/>
  <c r="L117" i="6"/>
  <c r="L178" i="6"/>
  <c r="F180" i="6"/>
  <c r="L169" i="6"/>
  <c r="F171" i="6"/>
  <c r="K246" i="6"/>
  <c r="F246" i="6"/>
  <c r="L162" i="6"/>
  <c r="E30" i="5"/>
  <c r="L155" i="6"/>
  <c r="F156" i="6"/>
  <c r="L55" i="6"/>
  <c r="F56" i="6"/>
  <c r="E7" i="5"/>
  <c r="L21" i="6"/>
  <c r="L262" i="6"/>
  <c r="F265" i="6"/>
  <c r="L228" i="6"/>
  <c r="E229" i="6"/>
  <c r="L51" i="6"/>
  <c r="E12" i="5"/>
  <c r="H6" i="5"/>
  <c r="F121" i="6"/>
  <c r="L145" i="6"/>
  <c r="E27" i="5"/>
  <c r="L209" i="6"/>
  <c r="E37" i="5"/>
  <c r="K8" i="3"/>
  <c r="F8" i="3"/>
  <c r="L8" i="3" s="1"/>
  <c r="E25" i="2" s="1"/>
  <c r="L216" i="6"/>
  <c r="E38" i="5"/>
  <c r="E12" i="3"/>
  <c r="L240" i="6"/>
  <c r="F241" i="6"/>
  <c r="K257" i="6"/>
  <c r="F257" i="6"/>
  <c r="G12" i="3"/>
  <c r="H12" i="3" s="1"/>
  <c r="L32" i="6"/>
  <c r="J33" i="6"/>
  <c r="L38" i="6"/>
  <c r="F39" i="6"/>
  <c r="L45" i="6"/>
  <c r="E11" i="5"/>
  <c r="H4" i="5"/>
  <c r="H14" i="5"/>
  <c r="L271" i="6"/>
  <c r="E47" i="5"/>
  <c r="K223" i="6"/>
  <c r="F223" i="6"/>
  <c r="I92" i="6"/>
  <c r="J92" i="6" s="1"/>
  <c r="J95" i="6" s="1"/>
  <c r="G20" i="5" s="1"/>
  <c r="I86" i="6"/>
  <c r="J86" i="6" s="1"/>
  <c r="J89" i="6" s="1"/>
  <c r="G19" i="5" s="1"/>
  <c r="I10" i="3" s="1"/>
  <c r="J10" i="3" s="1"/>
  <c r="G121" i="6" l="1"/>
  <c r="H28" i="5"/>
  <c r="K26" i="6"/>
  <c r="F26" i="6"/>
  <c r="H15" i="5"/>
  <c r="H7" i="5"/>
  <c r="E10" i="5"/>
  <c r="L39" i="6"/>
  <c r="L180" i="6"/>
  <c r="E32" i="5"/>
  <c r="F12" i="3"/>
  <c r="L12" i="3" s="1"/>
  <c r="K12" i="3"/>
  <c r="E285" i="6"/>
  <c r="H38" i="5"/>
  <c r="G9" i="5"/>
  <c r="L33" i="6"/>
  <c r="E29" i="5"/>
  <c r="L156" i="6"/>
  <c r="E94" i="6"/>
  <c r="H47" i="5"/>
  <c r="H12" i="5"/>
  <c r="H22" i="5"/>
  <c r="F122" i="6"/>
  <c r="E92" i="6"/>
  <c r="E86" i="6"/>
  <c r="H37" i="5"/>
  <c r="E110" i="6"/>
  <c r="H30" i="5"/>
  <c r="L56" i="6"/>
  <c r="E13" i="5"/>
  <c r="L139" i="6"/>
  <c r="E26" i="5"/>
  <c r="H11" i="5"/>
  <c r="L223" i="6"/>
  <c r="F224" i="6"/>
  <c r="K229" i="6"/>
  <c r="F229" i="6"/>
  <c r="L246" i="6"/>
  <c r="F247" i="6"/>
  <c r="H48" i="5"/>
  <c r="E93" i="6"/>
  <c r="L257" i="6"/>
  <c r="F258" i="6"/>
  <c r="E82" i="6"/>
  <c r="E76" i="6"/>
  <c r="H27" i="5"/>
  <c r="L241" i="6"/>
  <c r="E42" i="5"/>
  <c r="L265" i="6"/>
  <c r="E46" i="5"/>
  <c r="L171" i="6"/>
  <c r="E31" i="5"/>
  <c r="L26" i="6" l="1"/>
  <c r="F27" i="6"/>
  <c r="H121" i="6"/>
  <c r="K121" i="6"/>
  <c r="H13" i="5"/>
  <c r="F94" i="6"/>
  <c r="L94" i="6" s="1"/>
  <c r="K94" i="6"/>
  <c r="K110" i="6"/>
  <c r="F110" i="6"/>
  <c r="L110" i="6" s="1"/>
  <c r="L247" i="6"/>
  <c r="E43" i="5"/>
  <c r="K76" i="6"/>
  <c r="F76" i="6"/>
  <c r="E99" i="6"/>
  <c r="H29" i="5"/>
  <c r="H10" i="5"/>
  <c r="K86" i="6"/>
  <c r="F86" i="6"/>
  <c r="L224" i="6"/>
  <c r="E39" i="5"/>
  <c r="F92" i="6"/>
  <c r="K92" i="6"/>
  <c r="H9" i="5"/>
  <c r="E187" i="6"/>
  <c r="H32" i="5"/>
  <c r="E23" i="5"/>
  <c r="L258" i="6"/>
  <c r="E45" i="5"/>
  <c r="K82" i="6"/>
  <c r="F82" i="6"/>
  <c r="E87" i="6"/>
  <c r="H46" i="5"/>
  <c r="H42" i="5"/>
  <c r="E251" i="6"/>
  <c r="L229" i="6"/>
  <c r="F230" i="6"/>
  <c r="E183" i="6"/>
  <c r="H31" i="5"/>
  <c r="K93" i="6"/>
  <c r="F93" i="6"/>
  <c r="L93" i="6" s="1"/>
  <c r="E70" i="6"/>
  <c r="H26" i="5"/>
  <c r="K285" i="6"/>
  <c r="F285" i="6"/>
  <c r="H122" i="6" l="1"/>
  <c r="L121" i="6"/>
  <c r="L27" i="6"/>
  <c r="E8" i="5"/>
  <c r="G7" i="3"/>
  <c r="H7" i="3" s="1"/>
  <c r="E6" i="3"/>
  <c r="L92" i="6"/>
  <c r="F95" i="6"/>
  <c r="K99" i="6"/>
  <c r="F99" i="6"/>
  <c r="L76" i="6"/>
  <c r="F77" i="6"/>
  <c r="E250" i="6"/>
  <c r="H43" i="5"/>
  <c r="L86" i="6"/>
  <c r="E234" i="6"/>
  <c r="H39" i="5"/>
  <c r="L230" i="6"/>
  <c r="E40" i="5"/>
  <c r="F70" i="6"/>
  <c r="K70" i="6"/>
  <c r="F251" i="6"/>
  <c r="L251" i="6" s="1"/>
  <c r="K251" i="6"/>
  <c r="K87" i="6"/>
  <c r="F87" i="6"/>
  <c r="L87" i="6" s="1"/>
  <c r="L285" i="6"/>
  <c r="L82" i="6"/>
  <c r="F83" i="6"/>
  <c r="E88" i="6"/>
  <c r="H45" i="5"/>
  <c r="K183" i="6"/>
  <c r="F183" i="6"/>
  <c r="K187" i="6"/>
  <c r="F187" i="6"/>
  <c r="H8" i="5" l="1"/>
  <c r="F23" i="5"/>
  <c r="L122" i="6"/>
  <c r="E17" i="5"/>
  <c r="L77" i="6"/>
  <c r="L70" i="6"/>
  <c r="F71" i="6"/>
  <c r="L99" i="6"/>
  <c r="F111" i="6"/>
  <c r="I7" i="3"/>
  <c r="J7" i="3" s="1"/>
  <c r="L95" i="6"/>
  <c r="E20" i="5"/>
  <c r="F188" i="6"/>
  <c r="L187" i="6"/>
  <c r="F184" i="6"/>
  <c r="L183" i="6"/>
  <c r="F234" i="6"/>
  <c r="L234" i="6" s="1"/>
  <c r="K234" i="6"/>
  <c r="F6" i="3"/>
  <c r="K6" i="3"/>
  <c r="F250" i="6"/>
  <c r="K250" i="6"/>
  <c r="L83" i="6"/>
  <c r="E18" i="5"/>
  <c r="F89" i="6"/>
  <c r="H40" i="5"/>
  <c r="E233" i="6"/>
  <c r="K88" i="6"/>
  <c r="F88" i="6"/>
  <c r="L88" i="6" s="1"/>
  <c r="I5" i="3" l="1"/>
  <c r="J5" i="3" s="1"/>
  <c r="H23" i="5"/>
  <c r="H18" i="5"/>
  <c r="E34" i="5"/>
  <c r="L188" i="6"/>
  <c r="L111" i="6"/>
  <c r="E21" i="5"/>
  <c r="L6" i="3"/>
  <c r="E16" i="5"/>
  <c r="L71" i="6"/>
  <c r="F233" i="6"/>
  <c r="K233" i="6"/>
  <c r="H20" i="5"/>
  <c r="L250" i="6"/>
  <c r="F252" i="6"/>
  <c r="L89" i="6"/>
  <c r="E19" i="5"/>
  <c r="L184" i="6"/>
  <c r="E33" i="5"/>
  <c r="H17" i="5"/>
  <c r="J29" i="3" l="1"/>
  <c r="E11" i="2"/>
  <c r="H19" i="5"/>
  <c r="E198" i="6"/>
  <c r="H33" i="5"/>
  <c r="H21" i="5"/>
  <c r="L233" i="6"/>
  <c r="F235" i="6"/>
  <c r="E192" i="6"/>
  <c r="H34" i="5"/>
  <c r="H16" i="5"/>
  <c r="L252" i="6"/>
  <c r="E44" i="5"/>
  <c r="G11" i="3" l="1"/>
  <c r="H11" i="3" s="1"/>
  <c r="E7" i="3"/>
  <c r="E41" i="5"/>
  <c r="L235" i="6"/>
  <c r="F198" i="6"/>
  <c r="K198" i="6"/>
  <c r="E199" i="6"/>
  <c r="H44" i="5"/>
  <c r="F192" i="6"/>
  <c r="K192" i="6"/>
  <c r="G5" i="3" l="1"/>
  <c r="H5" i="3" s="1"/>
  <c r="F7" i="3"/>
  <c r="K7" i="3"/>
  <c r="L198" i="6"/>
  <c r="F199" i="6"/>
  <c r="L199" i="6" s="1"/>
  <c r="K199" i="6"/>
  <c r="L192" i="6"/>
  <c r="F194" i="6"/>
  <c r="E286" i="6"/>
  <c r="H41" i="5"/>
  <c r="H29" i="3" l="1"/>
  <c r="E8" i="2"/>
  <c r="E9" i="2" s="1"/>
  <c r="L7" i="3"/>
  <c r="F201" i="6"/>
  <c r="E36" i="5" s="1"/>
  <c r="L194" i="6"/>
  <c r="E35" i="5"/>
  <c r="E10" i="3"/>
  <c r="E11" i="3"/>
  <c r="E9" i="3"/>
  <c r="K286" i="6"/>
  <c r="F286" i="6"/>
  <c r="E10" i="2" l="1"/>
  <c r="E14" i="2"/>
  <c r="E16" i="2" s="1"/>
  <c r="E15" i="2"/>
  <c r="L201" i="6"/>
  <c r="E13" i="2"/>
  <c r="L286" i="6"/>
  <c r="F287" i="6"/>
  <c r="K9" i="3"/>
  <c r="F9" i="3"/>
  <c r="F11" i="3"/>
  <c r="L11" i="3" s="1"/>
  <c r="K11" i="3"/>
  <c r="H36" i="5"/>
  <c r="E131" i="6"/>
  <c r="F10" i="3"/>
  <c r="L10" i="3" s="1"/>
  <c r="K10" i="3"/>
  <c r="E130" i="6"/>
  <c r="H35" i="5"/>
  <c r="E12" i="2" l="1"/>
  <c r="F130" i="6"/>
  <c r="K130" i="6"/>
  <c r="K131" i="6"/>
  <c r="F131" i="6"/>
  <c r="L131" i="6" s="1"/>
  <c r="L9" i="3"/>
  <c r="L287" i="6"/>
  <c r="E49" i="5"/>
  <c r="E132" i="6" l="1"/>
  <c r="H49" i="5"/>
  <c r="L130" i="6"/>
  <c r="K132" i="6" l="1"/>
  <c r="F132" i="6"/>
  <c r="L132" i="6" l="1"/>
  <c r="F133" i="6"/>
  <c r="L133" i="6" l="1"/>
  <c r="E25" i="5"/>
  <c r="H25" i="5" l="1"/>
  <c r="E13" i="3" l="1"/>
  <c r="K13" i="3" l="1"/>
  <c r="F13" i="3"/>
  <c r="E5" i="3" s="1"/>
  <c r="L13" i="3" l="1"/>
  <c r="K5" i="3" l="1"/>
  <c r="F5" i="3"/>
  <c r="F29" i="3" s="1"/>
  <c r="E4" i="2" l="1"/>
  <c r="E7" i="2" s="1"/>
  <c r="L5" i="3"/>
  <c r="L29" i="3" s="1"/>
  <c r="E18" i="2" l="1"/>
  <c r="E19" i="2"/>
  <c r="E20" i="2"/>
  <c r="E21" i="2" l="1"/>
  <c r="E22" i="2" l="1"/>
  <c r="E23" i="2" l="1"/>
  <c r="E24" i="2" s="1"/>
  <c r="E26" i="2" l="1"/>
  <c r="E27" i="2" l="1"/>
  <c r="G13" i="1" s="1"/>
  <c r="G12" i="1"/>
  <c r="E28" i="2"/>
  <c r="E30" i="2" l="1"/>
  <c r="G14" i="1"/>
  <c r="G15" i="1" s="1"/>
  <c r="E10" i="1" s="1"/>
  <c r="F2" i="2" l="1"/>
  <c r="F9" i="9"/>
</calcChain>
</file>

<file path=xl/sharedStrings.xml><?xml version="1.0" encoding="utf-8"?>
<sst xmlns="http://schemas.openxmlformats.org/spreadsheetml/2006/main" count="6087" uniqueCount="812">
  <si>
    <t>0.014</t>
  </si>
  <si>
    <t>ZZF000100000</t>
  </si>
  <si>
    <t>YZS004000000</t>
  </si>
  <si>
    <t>직접노무비 * 4.75%</t>
  </si>
  <si>
    <t>1.01</t>
  </si>
  <si>
    <t>노무비의 2%</t>
  </si>
  <si>
    <t>일위대가</t>
  </si>
  <si>
    <t>금  액</t>
  </si>
  <si>
    <t>처리비/나무창문틀,가구</t>
  </si>
  <si>
    <t>0.35</t>
  </si>
  <si>
    <t>물가자료</t>
  </si>
  <si>
    <t>카페트 및 비닐 시트류 철거</t>
  </si>
  <si>
    <t>( 호표 28 ) 잡철물 제작 및 설치(현장제작 설치) 일반철재 Ton</t>
  </si>
  <si>
    <t>B20</t>
  </si>
  <si>
    <t>장비일위</t>
  </si>
  <si>
    <t>C90</t>
  </si>
  <si>
    <t>-1.12*0.05*0.8</t>
  </si>
  <si>
    <t>ZA00000000000006</t>
  </si>
  <si>
    <t>IB0000005200</t>
  </si>
  <si>
    <t>건축 5-1-1</t>
  </si>
  <si>
    <t>319퍼티, 백색</t>
  </si>
  <si>
    <t>IB0000004600</t>
  </si>
  <si>
    <t>먹매김</t>
  </si>
  <si>
    <t>3016160420162664</t>
  </si>
  <si>
    <t>AK0101000100</t>
  </si>
  <si>
    <t>녹막이 페인트칠</t>
  </si>
  <si>
    <t>재료비 단가 적용률</t>
  </si>
  <si>
    <t>벽체틀 설치</t>
  </si>
  <si>
    <t>철재면</t>
  </si>
  <si>
    <t>( 호표 42 ) 낙서방지용 페인트칠 롤러 2회, 노무비 M2</t>
  </si>
  <si>
    <t>재료별도</t>
  </si>
  <si>
    <t>20120321</t>
  </si>
  <si>
    <t>ZA00000000000007</t>
  </si>
  <si>
    <t>3회, 세라민페인트</t>
  </si>
  <si>
    <t>W=300이상, 3.6M이하</t>
  </si>
  <si>
    <t>1000*2200 ABS도어 부속철물 일체</t>
  </si>
  <si>
    <t>( 호표 25 ) PVC계 바닥재 설치 - 타일 주재료 제외 M2</t>
  </si>
  <si>
    <t>A20</t>
  </si>
  <si>
    <t>방청페인트, KSM6030-1종1류, 광명단페인트</t>
  </si>
  <si>
    <t>건축 4-2-3</t>
  </si>
  <si>
    <t>스틸판넬 600각 t=3.0</t>
  </si>
  <si>
    <t>617</t>
  </si>
  <si>
    <t>세라민페인트칠</t>
  </si>
  <si>
    <t>실내건축 가설-20</t>
  </si>
  <si>
    <t>JUK15</t>
  </si>
  <si>
    <t>598</t>
  </si>
  <si>
    <t>사무공간, 교육장, 회의·강연장</t>
  </si>
  <si>
    <t>사다리차</t>
  </si>
  <si>
    <t>588</t>
  </si>
  <si>
    <t xml:space="preserve"> 0.0230 </t>
  </si>
  <si>
    <t>0.2×1.22, 메탈계</t>
  </si>
  <si>
    <t>AK0206100100</t>
  </si>
  <si>
    <t>롤스크린</t>
  </si>
  <si>
    <t>단 가 대 비 표</t>
  </si>
  <si>
    <t>0101</t>
  </si>
  <si>
    <t>ㄱ형강[제작/설치]</t>
  </si>
  <si>
    <t>실내건축 철거-25</t>
  </si>
  <si>
    <t>( 호표 24 ) 벽체합판 설치 합판 별도 M2</t>
  </si>
  <si>
    <t>Z:in , 0.42 x 1220mm NW (방염 프리미엄우드)</t>
  </si>
  <si>
    <t>단위</t>
  </si>
  <si>
    <t>3016160420162661</t>
  </si>
  <si>
    <t>도장 후 퍼티 및 연마</t>
  </si>
  <si>
    <t>조사가격1</t>
  </si>
  <si>
    <t>( 호표 21 ) 창호유리설치 / 판유리 유리두께 5mm 이하 M2</t>
  </si>
  <si>
    <t>AKD000000200</t>
  </si>
  <si>
    <t>( 호표 13 ) 벽,띠장설치(미송) 30*30,@450*600 M2</t>
  </si>
  <si>
    <t>실내건축 철거-31</t>
  </si>
  <si>
    <t>잡자재비</t>
  </si>
  <si>
    <t>37</t>
  </si>
  <si>
    <t>CB0</t>
  </si>
  <si>
    <t>시너</t>
  </si>
  <si>
    <t>IA0000003000</t>
  </si>
  <si>
    <t>A</t>
  </si>
  <si>
    <t>AD0203100600</t>
  </si>
  <si>
    <t>702</t>
  </si>
  <si>
    <t>4.6</t>
  </si>
  <si>
    <t>재  료  비</t>
  </si>
  <si>
    <t>L001010101000012</t>
  </si>
  <si>
    <t>ZZA000200000</t>
  </si>
  <si>
    <t>( 호표 14 ) 벽체합판 설치 보통합판, THK4.8×1PLY M2</t>
  </si>
  <si>
    <t>AH0301002600</t>
  </si>
  <si>
    <t>YZA001000000</t>
  </si>
  <si>
    <t>DZZ+E10+E20+CE1+F30+F40+F10+F60+F70</t>
  </si>
  <si>
    <t>품셈개요</t>
  </si>
  <si>
    <t>주재료비의 4%</t>
  </si>
  <si>
    <t>철재면, 1회</t>
  </si>
  <si>
    <t>자재단가적용</t>
  </si>
  <si>
    <t>구        성        비</t>
  </si>
  <si>
    <t>0.01</t>
  </si>
  <si>
    <t>THK1.2</t>
  </si>
  <si>
    <t>420</t>
  </si>
  <si>
    <t>CQ0</t>
  </si>
  <si>
    <t>산근</t>
  </si>
  <si>
    <t>특별인부</t>
  </si>
  <si>
    <t>경량철재</t>
  </si>
  <si>
    <t>( 호표 41 ) 녹막이페인트 칠 1회.1종 M2</t>
  </si>
  <si>
    <t>( 호표 29 ) 잡철물 제작 및 설치(현장제작 설치) 경량철재 Ton</t>
  </si>
  <si>
    <t>26</t>
  </si>
  <si>
    <t>ZA00000000000002</t>
  </si>
  <si>
    <t>인력품의 4%</t>
  </si>
  <si>
    <t>공   급    가   액</t>
  </si>
  <si>
    <t>407</t>
  </si>
  <si>
    <t>노   무   비</t>
  </si>
  <si>
    <t>JUK16</t>
  </si>
  <si>
    <t>670</t>
  </si>
  <si>
    <t>코  드</t>
  </si>
  <si>
    <t>공 사 원 가 계 산 서</t>
  </si>
  <si>
    <t>kg</t>
  </si>
  <si>
    <t>L001010101000030</t>
  </si>
  <si>
    <t>건설용 리프트(인화물용)</t>
  </si>
  <si>
    <t>ST'L PLATE 제작/설치</t>
  </si>
  <si>
    <t>일반구조용압연강판</t>
  </si>
  <si>
    <t>.EQ=LA(10, 0, 20) * 0.05</t>
  </si>
  <si>
    <t>현장제작 설치, 경량철재</t>
  </si>
  <si>
    <t>C30</t>
  </si>
  <si>
    <t>0.018</t>
  </si>
  <si>
    <t>ZZC000100000</t>
  </si>
  <si>
    <t>AH1410000800</t>
  </si>
  <si>
    <t>.MA=LA(10, 20, 30, 40) * 0.04</t>
  </si>
  <si>
    <t>건축 8-1-4</t>
  </si>
  <si>
    <t>2026년</t>
  </si>
  <si>
    <t>품      명</t>
  </si>
  <si>
    <t>템바보드붙임</t>
  </si>
  <si>
    <t>E001010115010520</t>
  </si>
  <si>
    <t>ㄱ형강, 등변, 25*25*3mm</t>
  </si>
  <si>
    <t>2</t>
  </si>
  <si>
    <t>( 호표 36 ) 유성페인트 붓칠 철재면, 2회 M2</t>
  </si>
  <si>
    <t>Ton</t>
  </si>
  <si>
    <t>M2</t>
  </si>
  <si>
    <t>0109</t>
  </si>
  <si>
    <t>ZZB130100000</t>
  </si>
  <si>
    <t>노임구분</t>
  </si>
  <si>
    <t>ZZB300100000</t>
  </si>
  <si>
    <t>ZZB400100000</t>
  </si>
  <si>
    <t>손료적용</t>
  </si>
  <si>
    <t>보양</t>
  </si>
  <si>
    <t>DZZ</t>
  </si>
  <si>
    <t>PAGE</t>
  </si>
  <si>
    <t>경량철골천장틀, 행가및핀, 110×23×18×2.3mm</t>
  </si>
  <si>
    <t>노무비 조정률</t>
  </si>
  <si>
    <t>0.04</t>
  </si>
  <si>
    <t>0101  가설공사</t>
  </si>
  <si>
    <t>1990889</t>
  </si>
  <si>
    <t>(재료비+직노+도급자관급) * 3.11%</t>
  </si>
  <si>
    <t>AH1430000100</t>
  </si>
  <si>
    <t>AH0301000500</t>
  </si>
  <si>
    <t>확정내역</t>
  </si>
  <si>
    <t>PPS00000002</t>
  </si>
  <si>
    <t>철제커텐박스철거</t>
  </si>
  <si>
    <t>경량철골천장틀, 찬넬크립, 34×34×1.2mm</t>
  </si>
  <si>
    <t>총     공     사     비</t>
  </si>
  <si>
    <t>직  접  재  료  비</t>
  </si>
  <si>
    <t>( 호표 32 ) ST'L PLATE 제작/설치 THK=1.2mm(간단) M2</t>
  </si>
  <si>
    <t>텍스류 철거</t>
  </si>
  <si>
    <t>813J050000000041</t>
  </si>
  <si>
    <t>BZZ</t>
  </si>
  <si>
    <t>스테인리스 스틸 헤어라인 1.2T D90</t>
  </si>
  <si>
    <t>( 호표 35 ) 도장 후 퍼티 및 연마  M2</t>
  </si>
  <si>
    <t>(AZZ+B10+Q10/1.1)*%%</t>
  </si>
  <si>
    <t xml:space="preserve"> 0.0100 </t>
  </si>
  <si>
    <t>0103  폐기물처리비</t>
  </si>
  <si>
    <t>퍼티, 회색</t>
  </si>
  <si>
    <t>붓칠, 2회, 노무비</t>
  </si>
  <si>
    <t>변수</t>
  </si>
  <si>
    <t>( 호표 15 ) 벽, MDF붙임 중밀도섬유판, THK12×1PLY M2</t>
  </si>
  <si>
    <t>재</t>
  </si>
  <si>
    <t>( 호표 4 ) 준공청소 1회 기준 M2</t>
  </si>
  <si>
    <t>적용률</t>
  </si>
  <si>
    <t>유리프레임 철거</t>
  </si>
  <si>
    <t>ZZB700100000</t>
  </si>
  <si>
    <t>1337</t>
  </si>
  <si>
    <t>AK0204110300</t>
  </si>
  <si>
    <t>3016160420162677</t>
  </si>
  <si>
    <t>보통합판, THK4.8×1PLY</t>
  </si>
  <si>
    <t>인테리어필름</t>
  </si>
  <si>
    <t>0.44</t>
  </si>
  <si>
    <t>부  가  가  치  세</t>
  </si>
  <si>
    <t>인서트</t>
  </si>
  <si>
    <t>3016160420162662</t>
  </si>
  <si>
    <t>노 무 비</t>
  </si>
  <si>
    <t>AK0204100200</t>
  </si>
  <si>
    <t>재   료   비</t>
  </si>
  <si>
    <t>공급가액 * 10%</t>
  </si>
  <si>
    <t>열연강판 박판, 1.2mm</t>
  </si>
  <si>
    <t>TTTTTTTT</t>
  </si>
  <si>
    <t>3016160420162665</t>
  </si>
  <si>
    <t>1.12kg/m</t>
  </si>
  <si>
    <t>데코타일붙임</t>
  </si>
  <si>
    <t>57</t>
  </si>
  <si>
    <t>철강설</t>
  </si>
  <si>
    <t>주재료비의 3%</t>
  </si>
  <si>
    <t>주재료 제외</t>
  </si>
  <si>
    <t>노무비*3.56%</t>
  </si>
  <si>
    <t>품목코드형식</t>
  </si>
  <si>
    <t>668</t>
  </si>
  <si>
    <t>634</t>
  </si>
  <si>
    <t>환경보전비</t>
  </si>
  <si>
    <t>넝마</t>
  </si>
  <si>
    <t xml:space="preserve">공구손료 및 기계경비 </t>
  </si>
  <si>
    <t>단가명</t>
  </si>
  <si>
    <t>0107</t>
  </si>
  <si>
    <t>AOC120306000</t>
  </si>
  <si>
    <t>AE0101100100</t>
  </si>
  <si>
    <t>150×50 기준</t>
  </si>
  <si>
    <t>1198</t>
  </si>
  <si>
    <t>0.0570</t>
  </si>
  <si>
    <t>합판 별도</t>
  </si>
  <si>
    <t>실내건축 철거-13</t>
  </si>
  <si>
    <t>공종구분명</t>
  </si>
  <si>
    <t>3121150820276421</t>
  </si>
  <si>
    <t>10</t>
  </si>
  <si>
    <t>1회.1종</t>
  </si>
  <si>
    <t>43</t>
  </si>
  <si>
    <t>0106  수장공사</t>
  </si>
  <si>
    <t>.MA = LA(40) * 0.05</t>
  </si>
  <si>
    <t>인서트(Insert) 설치</t>
  </si>
  <si>
    <t>상차 및 운반비포함</t>
  </si>
  <si>
    <t>비        목</t>
  </si>
  <si>
    <t>0.045</t>
  </si>
  <si>
    <t>경      비</t>
  </si>
  <si>
    <t>각재, 미송</t>
  </si>
  <si>
    <t>CD0</t>
  </si>
  <si>
    <t>철강설, 고철, 작업설부산물</t>
  </si>
  <si>
    <t>AK0209000200</t>
  </si>
  <si>
    <t>세라민, KSM5700, 흑색</t>
  </si>
  <si>
    <t>JUK9</t>
  </si>
  <si>
    <t>경량천장철골틀 설치</t>
  </si>
  <si>
    <t>건축 11-2-4</t>
  </si>
  <si>
    <t>( 호표 33 ) ㄱ형강[제작/설치] ㄱ형강, 등변, 25×25×3mm, 방청 M</t>
  </si>
  <si>
    <t>M</t>
  </si>
  <si>
    <t>0.034</t>
  </si>
  <si>
    <t>5억미만, 일반건설공사(갑)</t>
  </si>
  <si>
    <t>물가정보</t>
  </si>
  <si>
    <t>공구손료</t>
  </si>
  <si>
    <t>시너, KSM6060-1종, 알키드, 페놀에나멜</t>
  </si>
  <si>
    <t>450*450*3.0mm (왁스무)</t>
  </si>
  <si>
    <t>직접노무비* 3.595%</t>
  </si>
  <si>
    <t>( 호표 10 ) 경량철골천장틀 철거  M2</t>
  </si>
  <si>
    <t>IA0000002000</t>
  </si>
  <si>
    <t>( 호표 8 ) 유리프레임 철거 150×50 기준 M</t>
  </si>
  <si>
    <t>13</t>
  </si>
  <si>
    <t>혼합건설폐기물</t>
  </si>
  <si>
    <t>실내건축 가설-05</t>
  </si>
  <si>
    <t>JUK3</t>
  </si>
  <si>
    <t>노임계수</t>
  </si>
  <si>
    <t>( 호표 1 ) 먹매김 사무공간, 교육장, 회의·강연장 M2</t>
  </si>
  <si>
    <t>흰색 5mm</t>
  </si>
  <si>
    <t>조사가격2</t>
  </si>
  <si>
    <t>(재료비+직노+기계경비) * 0.5%</t>
  </si>
  <si>
    <t>아크릴수지페인트</t>
  </si>
  <si>
    <t>PVC계 바닥재 설치 - 타일</t>
  </si>
  <si>
    <t>28</t>
  </si>
  <si>
    <t>SF0330002100</t>
  </si>
  <si>
    <t>.MA=LA(30, 40) * 0.03</t>
  </si>
  <si>
    <t>결   정   금   액</t>
  </si>
  <si>
    <t>건축목공</t>
  </si>
  <si>
    <t>IB0000003400</t>
  </si>
  <si>
    <t>3120160120277510</t>
  </si>
  <si>
    <t>150*150*1.2T 분체도장</t>
  </si>
  <si>
    <t>노무비 할증 계수</t>
  </si>
  <si>
    <t>3016170720153841</t>
  </si>
  <si>
    <t>3121160220145711</t>
  </si>
  <si>
    <t>퍼티</t>
  </si>
  <si>
    <t>벽, MDF붙임</t>
  </si>
  <si>
    <t>BZZ*%%</t>
  </si>
  <si>
    <t>경    비</t>
  </si>
  <si>
    <t>AH0301002500</t>
  </si>
  <si>
    <t>일 위 대 가 목 록</t>
  </si>
  <si>
    <t>ZZ0000100000</t>
  </si>
  <si>
    <t>B10</t>
  </si>
  <si>
    <t>재료비 조정률</t>
  </si>
  <si>
    <t>IA0000000500</t>
  </si>
  <si>
    <t>메모장</t>
  </si>
  <si>
    <t>M-BAR,1M이상,인서트 유</t>
  </si>
  <si>
    <t>별도</t>
  </si>
  <si>
    <t>1.12</t>
  </si>
  <si>
    <t xml:space="preserve"> </t>
  </si>
  <si>
    <t>실내건축-가설-35</t>
  </si>
  <si>
    <t>경량철골천장틀, 캐링찬넬, 38×12×1.2mm</t>
  </si>
  <si>
    <t>분체도료</t>
  </si>
  <si>
    <t>인서트, 주물, Φ9mm</t>
  </si>
  <si>
    <t>( 호표 37 ) 유성페인트 붓칠 - 재료비 철재면, 2회 칠, 1급 M2</t>
  </si>
  <si>
    <t>벽체, 2PLY</t>
  </si>
  <si>
    <t>01  공용 스마트 교육공간 인프라 구축(건축)</t>
  </si>
  <si>
    <t>이              윤</t>
  </si>
  <si>
    <t>철재면, 2회</t>
  </si>
  <si>
    <t>보통합판, 1급, 2.7*1220*2440mm</t>
  </si>
  <si>
    <t>벽체합판 설치</t>
  </si>
  <si>
    <t>AK0210000100</t>
  </si>
  <si>
    <t>ZZB000100000</t>
  </si>
  <si>
    <t>공급가액</t>
  </si>
  <si>
    <t>공 종 별 집 계 표</t>
  </si>
  <si>
    <t>3121160220145712</t>
  </si>
  <si>
    <t>TOTAL</t>
  </si>
  <si>
    <t>ZZB130200000</t>
  </si>
  <si>
    <t>기   타    경   비</t>
  </si>
  <si>
    <t>하47</t>
  </si>
  <si>
    <t>(AZZ+B10+C30)*%%</t>
  </si>
  <si>
    <t>1회 기준</t>
  </si>
  <si>
    <t>창호유리설치 / 판유리</t>
  </si>
  <si>
    <t>건축 10-3-1</t>
  </si>
  <si>
    <t>건축 8-2-4</t>
  </si>
  <si>
    <t>미확인 데이터</t>
  </si>
  <si>
    <t>( 호표 3 ) 보양 합판, T=3 M2</t>
  </si>
  <si>
    <t>13.14</t>
  </si>
  <si>
    <t>C</t>
  </si>
  <si>
    <t>319퍼티, 회색</t>
  </si>
  <si>
    <t xml:space="preserve"> 흡음텍스(300 x 600㎜) </t>
  </si>
  <si>
    <t>JUK10</t>
  </si>
  <si>
    <t>641</t>
  </si>
  <si>
    <t>일  반  관  리  비</t>
  </si>
  <si>
    <t>(BZZ+CZZ+E10)*%%</t>
  </si>
  <si>
    <t>ITEMSEQNO</t>
  </si>
  <si>
    <t>21</t>
  </si>
  <si>
    <t>일위대가내역소수점처리</t>
  </si>
  <si>
    <t>유성페인트 붓칠 - 재료비</t>
  </si>
  <si>
    <t>JUK8</t>
  </si>
  <si>
    <t>시간당 작업사이클</t>
  </si>
  <si>
    <t>(주)LX하우시스</t>
  </si>
  <si>
    <t>( 호표 2 ) 자재 소운반 15층 이하 기준 M2</t>
  </si>
  <si>
    <t>1.7634</t>
  </si>
  <si>
    <t>작업설,부산물(△)</t>
  </si>
  <si>
    <t>AH1210002400</t>
  </si>
  <si>
    <t>JUK14</t>
  </si>
  <si>
    <t>총      원      가</t>
  </si>
  <si>
    <t>담당</t>
  </si>
  <si>
    <t>THK12 반달</t>
  </si>
  <si>
    <t>그 밖의 건설폐기물에 가연성 5% 이하 혼합</t>
  </si>
  <si>
    <t>AD0201000400</t>
  </si>
  <si>
    <t>685</t>
  </si>
  <si>
    <t>폐목재</t>
  </si>
  <si>
    <t>( 호표 31 ) 잡철물 제작 및 설치 현장제작 설치, 경량철재 kg</t>
  </si>
  <si>
    <t>연마지</t>
  </si>
  <si>
    <t>P10*%%</t>
  </si>
  <si>
    <t>01</t>
  </si>
  <si>
    <t>8</t>
  </si>
  <si>
    <t>원가비목코드</t>
  </si>
  <si>
    <t>466</t>
  </si>
  <si>
    <t>1/8*16/12*25/20</t>
  </si>
  <si>
    <t>1L=1.55kg</t>
  </si>
  <si>
    <t>SEQNO</t>
  </si>
  <si>
    <t>0102</t>
  </si>
  <si>
    <t>( 호표 34 ) 콘크리트·모르타르면 바탕만들기  M2</t>
  </si>
  <si>
    <t>148</t>
  </si>
  <si>
    <t>504</t>
  </si>
  <si>
    <t>TGW1 (도면참조)</t>
  </si>
  <si>
    <t>롤러 2회, 노무비</t>
  </si>
  <si>
    <t>( 호표 11 ) 텍스류 철거 천장 M2</t>
  </si>
  <si>
    <t xml:space="preserve"> 0.0140 </t>
  </si>
  <si>
    <t>615</t>
  </si>
  <si>
    <t>CE0</t>
  </si>
  <si>
    <t>3010369820141039</t>
  </si>
  <si>
    <t>일위</t>
  </si>
  <si>
    <t>건축 4-2-1</t>
  </si>
  <si>
    <t>.MA = MA(10, 0, 20) * 0.04</t>
  </si>
  <si>
    <t>건축 11-2-9</t>
  </si>
  <si>
    <t>YZDH00100000</t>
  </si>
  <si>
    <t>0104  목공사</t>
  </si>
  <si>
    <t>( 호표 9 ) 유리 철거 T=12, 일반유리 기준 M2</t>
  </si>
  <si>
    <t>자재구분</t>
  </si>
  <si>
    <t>1/8*16/12*25/20*24/15</t>
  </si>
  <si>
    <t>84</t>
  </si>
  <si>
    <t>1119160220292342</t>
  </si>
  <si>
    <t>걸레받이,모르타르면3회</t>
  </si>
  <si>
    <t>( 호표 18 ) 경량철골천장틀 M-BAR,1M이상,인서트 유 M2</t>
  </si>
  <si>
    <t>IB0000005500</t>
  </si>
  <si>
    <t>AH0104000300</t>
  </si>
  <si>
    <t>( 호표 20 ) 데코타일붙임 450*450*3.0mm (왁스무) M2</t>
  </si>
  <si>
    <t>1168</t>
  </si>
  <si>
    <t>0.007</t>
  </si>
  <si>
    <t>적용단가</t>
  </si>
  <si>
    <t>잡철물 제작 및 설치</t>
  </si>
  <si>
    <t>E20</t>
  </si>
  <si>
    <t>이 Sheet는 수정하지 마십시요</t>
  </si>
  <si>
    <t>0.226</t>
  </si>
  <si>
    <t>3119150120139357</t>
  </si>
  <si>
    <t>실내건축 철거-18</t>
  </si>
  <si>
    <t>유성페인트(붓칠)</t>
  </si>
  <si>
    <t>JUK17</t>
  </si>
  <si>
    <t>.MA=LA(10, 20, 30, 40) * 0.03</t>
  </si>
  <si>
    <t>P30</t>
  </si>
  <si>
    <t>0.05/2*3</t>
  </si>
  <si>
    <t>P30+Q10+Q20+Q30+Q40+Q50+Q60</t>
  </si>
  <si>
    <t>재료비 할증 계수</t>
  </si>
  <si>
    <t>경량철골천장틀, BAR조인트, 더블</t>
  </si>
  <si>
    <t>노  무  비</t>
  </si>
  <si>
    <t>.MA=LA(10, 20, 30, 40) * 0.02</t>
  </si>
  <si>
    <t>부가세</t>
  </si>
  <si>
    <t>AZZ</t>
  </si>
  <si>
    <t>ZA00000000000004</t>
  </si>
  <si>
    <t>벽,띠장설치(미송)</t>
  </si>
  <si>
    <t>경량철골천장틀, BAR크립, 더블</t>
  </si>
  <si>
    <t>천원</t>
  </si>
  <si>
    <t>CB0*%%</t>
  </si>
  <si>
    <t>조사가격3</t>
  </si>
  <si>
    <t>( 호표 23 ) 벽체틀 설치 자재 별도 M2</t>
  </si>
  <si>
    <t>L001010101000029</t>
  </si>
  <si>
    <t>규      격</t>
  </si>
  <si>
    <t>TGD1 (도면참조)</t>
  </si>
  <si>
    <t>1412</t>
  </si>
  <si>
    <t>일반철재</t>
  </si>
  <si>
    <t>[ 합           계 ]</t>
  </si>
  <si>
    <t>503</t>
  </si>
  <si>
    <t>JUK7</t>
  </si>
  <si>
    <t>과장</t>
  </si>
  <si>
    <t>599</t>
  </si>
  <si>
    <t>63</t>
  </si>
  <si>
    <t>AD0203000100</t>
  </si>
  <si>
    <t>실내건축 철거-34</t>
  </si>
  <si>
    <t>집기이동 및 해체</t>
  </si>
  <si>
    <t>품목코드</t>
  </si>
  <si>
    <t>경비단가적용</t>
  </si>
  <si>
    <t>설계자</t>
  </si>
  <si>
    <t>연마지, #120~180, 230×280mm</t>
  </si>
  <si>
    <t>건축 11-2-6</t>
  </si>
  <si>
    <t>PVC바닥재, 450×450×t3mm, 데코타일</t>
  </si>
  <si>
    <t>( 호표 43 ) 낙서방지용 페인트칠 - 재료비 롤러 2회 칠 M2</t>
  </si>
  <si>
    <t>0.199/2*3</t>
  </si>
  <si>
    <t>공사구분</t>
  </si>
  <si>
    <t>중밀도섬유판</t>
  </si>
  <si>
    <t>낙서방지용 페인트칠</t>
  </si>
  <si>
    <t>56401047</t>
  </si>
  <si>
    <t>1.12*1.05</t>
  </si>
  <si>
    <t>재 료 비</t>
  </si>
  <si>
    <t>3116200220136259</t>
  </si>
  <si>
    <t>매</t>
  </si>
  <si>
    <t>YZA002000000</t>
  </si>
  <si>
    <t>소수점처리</t>
  </si>
  <si>
    <t>2026년 4월 30일 설계</t>
  </si>
  <si>
    <t>L001010101000023</t>
  </si>
  <si>
    <t>AZZ+BZZ+CZZ</t>
  </si>
  <si>
    <t>실내건축 수장-19</t>
  </si>
  <si>
    <t>YZD014000000</t>
  </si>
  <si>
    <t>걸레받이용 페인트칠 - 재료비</t>
  </si>
  <si>
    <t>ZZZ</t>
  </si>
  <si>
    <t>녹막이페인트 칠</t>
  </si>
  <si>
    <t>498</t>
  </si>
  <si>
    <t>0.05</t>
  </si>
  <si>
    <t>1회 사이클시간</t>
  </si>
  <si>
    <t>3120160520277601</t>
  </si>
  <si>
    <t>노무비의 5%</t>
  </si>
  <si>
    <t>0000221001450000</t>
  </si>
  <si>
    <t>THK=1.2mm(간단)</t>
  </si>
  <si>
    <t>3116280220163395</t>
  </si>
  <si>
    <t>L001010101000025</t>
  </si>
  <si>
    <t>28861908</t>
  </si>
  <si>
    <t>무지방염</t>
  </si>
  <si>
    <t>단산</t>
  </si>
  <si>
    <t>잡철물 제작 및 설치(현장제작 설치)</t>
  </si>
  <si>
    <t>73</t>
  </si>
  <si>
    <t>ZZB120100000</t>
  </si>
  <si>
    <t>JUK5</t>
  </si>
  <si>
    <t>1 톤 X 45 m</t>
  </si>
  <si>
    <t>.MA=LA(10, 20) * 0.03</t>
  </si>
  <si>
    <t>롤러 2회 칠, 콘크리트·모르타르면</t>
  </si>
  <si>
    <t>ZZD000100000</t>
  </si>
  <si>
    <t>PPS00000001</t>
  </si>
  <si>
    <t>YZD007000000</t>
  </si>
  <si>
    <t>내역금액소수점처리</t>
  </si>
  <si>
    <t>667</t>
  </si>
  <si>
    <t>JUK2</t>
  </si>
  <si>
    <t>0106</t>
  </si>
  <si>
    <t>1112200320154875</t>
  </si>
  <si>
    <t>노무비의 4%</t>
  </si>
  <si>
    <t>3121159322073062</t>
  </si>
  <si>
    <t>JUK12</t>
  </si>
  <si>
    <t>모든 건설공사</t>
  </si>
  <si>
    <t>총   공   사    비</t>
  </si>
  <si>
    <t>R</t>
  </si>
  <si>
    <t>중밀도섬유판, 12*1220*2440mm</t>
  </si>
  <si>
    <t>롤러 2회 칠</t>
  </si>
  <si>
    <t>0.001</t>
  </si>
  <si>
    <t>1.2</t>
  </si>
  <si>
    <t>613</t>
  </si>
  <si>
    <t>AD0203200400</t>
  </si>
  <si>
    <t>( 호표 22 ) 철재커텐박스(ㄷ자형) 150*150*1.2T 분체도장 M</t>
  </si>
  <si>
    <t>AK0105100100</t>
  </si>
  <si>
    <t>콘크리트·모르타르면 바탕만들기</t>
  </si>
  <si>
    <t>실내건축-가설-30</t>
  </si>
  <si>
    <t>1078</t>
  </si>
  <si>
    <t>CC0</t>
  </si>
  <si>
    <t>BAR간격 300mm</t>
  </si>
  <si>
    <t>도      급      액</t>
  </si>
  <si>
    <t>천장</t>
  </si>
  <si>
    <t>금      액</t>
  </si>
  <si>
    <t>712</t>
  </si>
  <si>
    <t>메라코트 프라이머</t>
  </si>
  <si>
    <t>ㄱ형강, 등변, 25×25×3mm, 방청</t>
  </si>
  <si>
    <t>일반못</t>
  </si>
  <si>
    <t>일반공사 직종</t>
  </si>
  <si>
    <t>합      계</t>
  </si>
  <si>
    <t>국민  연금  보험료</t>
  </si>
  <si>
    <t>건축 11-2-10</t>
  </si>
  <si>
    <t>1</t>
  </si>
  <si>
    <t>도면참조</t>
  </si>
  <si>
    <t>1112200120142410</t>
  </si>
  <si>
    <t>PD1 (도면참조)</t>
  </si>
  <si>
    <t>L001010101000003</t>
  </si>
  <si>
    <t>인력품의 5%</t>
  </si>
  <si>
    <t>ZA00000000000005</t>
  </si>
  <si>
    <t>AK0209000400</t>
  </si>
  <si>
    <t>( 호표 39 ) 녹막이 페인트칠 철재면, 1회 M2</t>
  </si>
  <si>
    <t>시너, KSM6060-2종, 조합페인트용</t>
  </si>
  <si>
    <t>경비 단가 적용률</t>
  </si>
  <si>
    <t>3016160420162624</t>
  </si>
  <si>
    <t>CZZ</t>
  </si>
  <si>
    <t>보통합판</t>
  </si>
  <si>
    <t>B10+B20</t>
  </si>
  <si>
    <t>유리 철거</t>
  </si>
  <si>
    <t>3.56</t>
  </si>
  <si>
    <t>B</t>
  </si>
  <si>
    <t>SF0330002300</t>
  </si>
  <si>
    <t>품      목</t>
  </si>
  <si>
    <t>시공도</t>
  </si>
  <si>
    <t>거래가격</t>
  </si>
  <si>
    <t xml:space="preserve"> [ 합          계 ]</t>
  </si>
  <si>
    <t>3121150220276510</t>
  </si>
  <si>
    <t>국민  건강  보험료</t>
  </si>
  <si>
    <t>바탕+낙서방지 페인트칠</t>
  </si>
  <si>
    <t>방청페인트</t>
  </si>
  <si>
    <t>철재면2회.1급</t>
  </si>
  <si>
    <t>30*30,@450*600</t>
  </si>
  <si>
    <t>노무비 단가 적용률</t>
  </si>
  <si>
    <t>( 호표 45 ) 걸레받이용 페인트칠 - 재료비 3회, 세라민페인트 M2</t>
  </si>
  <si>
    <t>(재료비+노무비)* 4.6%</t>
  </si>
  <si>
    <t>98</t>
  </si>
  <si>
    <t>( 호표 16 ) 바탕+낙서방지 페인트칠 롤러 2회 칠, 콘크리트·모르타르면 M2</t>
  </si>
  <si>
    <t>순   공   사   원   가</t>
  </si>
  <si>
    <t>인력품의 2%</t>
  </si>
  <si>
    <t>경량철골천장틀 철거</t>
  </si>
  <si>
    <t>중밀도섬유판, THK12×1PLY</t>
  </si>
  <si>
    <t>경량철골천장틀, 캐링조인트, 90×40×13×0.5mm</t>
  </si>
  <si>
    <t>합산제외</t>
  </si>
  <si>
    <t>L</t>
  </si>
  <si>
    <t>자재 별도</t>
  </si>
  <si>
    <t>0</t>
  </si>
  <si>
    <t>각재</t>
  </si>
  <si>
    <t>( 호표 30 ) 잡철물 제작 및 설치 현장제작 설치, 일반철재 kg</t>
  </si>
  <si>
    <t>1/8*16/12*25/20*12/10</t>
  </si>
  <si>
    <t>CT0</t>
  </si>
  <si>
    <t>JUK20</t>
  </si>
  <si>
    <t>기존도어 재사용 부속철물 일체</t>
  </si>
  <si>
    <t>준공청소</t>
  </si>
  <si>
    <t>P20</t>
  </si>
  <si>
    <t>L001010101000009</t>
  </si>
  <si>
    <t>JUK1</t>
  </si>
  <si>
    <t>F</t>
  </si>
  <si>
    <t>XXXXXXXXXXXXXXXXX</t>
  </si>
  <si>
    <t>IB0000003900</t>
  </si>
  <si>
    <t>( 호표 7 ) 카페트 및 비닐 시트류 철거  M2</t>
  </si>
  <si>
    <t>A30</t>
  </si>
  <si>
    <t>건축 11-1-5</t>
  </si>
  <si>
    <t>내역단가 소수점처리</t>
  </si>
  <si>
    <t>실내건축 철거-20</t>
  </si>
  <si>
    <t>0104</t>
  </si>
  <si>
    <t>0109  기타공사</t>
  </si>
  <si>
    <t>0.069</t>
  </si>
  <si>
    <t>AK0210000400</t>
  </si>
  <si>
    <t>AD0201000100</t>
  </si>
  <si>
    <t>건강보험료* 13.14%</t>
  </si>
  <si>
    <t>JUK11</t>
  </si>
  <si>
    <t>JUK4</t>
  </si>
  <si>
    <t>비      고</t>
  </si>
  <si>
    <t>간  접  노  무  비</t>
  </si>
  <si>
    <t>0.013</t>
  </si>
  <si>
    <t>합    계</t>
  </si>
  <si>
    <t>JUK19</t>
  </si>
  <si>
    <t>보통인부</t>
  </si>
  <si>
    <t>자재</t>
  </si>
  <si>
    <t>3.11</t>
  </si>
  <si>
    <t>낙서방지용 페인트칠 - 재료비</t>
  </si>
  <si>
    <t>AH0301000600</t>
  </si>
  <si>
    <t>초산비닐계접착제</t>
  </si>
  <si>
    <t>.MA=LA(10, 20) * 0.02</t>
  </si>
  <si>
    <t>공용 스마트 교육공간 인프라 구축(건축)</t>
  </si>
  <si>
    <t>3121180322073040</t>
  </si>
  <si>
    <t>DZZ*%%</t>
  </si>
  <si>
    <t>T=12, 일반유리 기준</t>
  </si>
  <si>
    <t>경량철골천장틀, 피스, 3×16mm</t>
  </si>
  <si>
    <t>9</t>
  </si>
  <si>
    <t>산업안전보건관리비</t>
  </si>
  <si>
    <t>( 호표 6 ) 합판 또는 판재류 철거 벽체, 2PLY M2</t>
  </si>
  <si>
    <t>YZS002000000</t>
  </si>
  <si>
    <t>손료저장</t>
  </si>
  <si>
    <t>1472</t>
  </si>
  <si>
    <t>설치대상 - 콘크리트</t>
  </si>
  <si>
    <t>614</t>
  </si>
  <si>
    <t>경비 조정률</t>
  </si>
  <si>
    <t>일반못, 50mm</t>
  </si>
  <si>
    <t>L001010101000002</t>
  </si>
  <si>
    <t>5213160120156350</t>
  </si>
  <si>
    <t>0108  금속공사</t>
  </si>
  <si>
    <t>매립 마카대 설치</t>
  </si>
  <si>
    <t>아연도강판 부착</t>
  </si>
  <si>
    <t>AH0204000100</t>
  </si>
  <si>
    <t>교육청</t>
  </si>
  <si>
    <t>합판 또는 판재류 철거</t>
  </si>
  <si>
    <t>.MA = MA(10, 0, 20) * 0.03</t>
  </si>
  <si>
    <t>악세스후로아(전도성타일마감)</t>
  </si>
  <si>
    <t>유통물가</t>
  </si>
  <si>
    <t>경량철골천장틀, 마이너찬넬, 19×10×1.2mm</t>
  </si>
  <si>
    <t>C20+C30+C60+C70+C90+CA0+CB0+CC0+CD0+CE0+CE1+CH0+CH1+CH2+CH3+CH4+CQ0+CT0+CT1+CT2+CU0+CV0+CW0</t>
  </si>
  <si>
    <t>'20년경남교육청</t>
  </si>
  <si>
    <t>직  접  노  무  비</t>
  </si>
  <si>
    <t>철재커텐박스(ㄷ자형)</t>
  </si>
  <si>
    <t>비  고</t>
  </si>
  <si>
    <t>경        비</t>
  </si>
  <si>
    <t>노인장기요양보험료</t>
  </si>
  <si>
    <t>시간당 노임산출 계수</t>
  </si>
  <si>
    <t>도장공</t>
  </si>
  <si>
    <t>AE0101201000</t>
  </si>
  <si>
    <t>일반변수</t>
  </si>
  <si>
    <t>TON</t>
  </si>
  <si>
    <t>보통합판, 1급, 4.8*1220*2440mm</t>
  </si>
  <si>
    <t>( 호표 5 ) 경량 구조틀 철거  M2</t>
  </si>
  <si>
    <t>CA0</t>
  </si>
  <si>
    <t>3.595</t>
  </si>
  <si>
    <t>4710153520106523</t>
  </si>
  <si>
    <t>2400*1300 금속프레임 포함</t>
  </si>
  <si>
    <t>0.029</t>
  </si>
  <si>
    <t>노무비의 3%</t>
  </si>
  <si>
    <t>도급금액</t>
  </si>
  <si>
    <t>3121159722073048</t>
  </si>
  <si>
    <t>유리두께 5mm 이하</t>
  </si>
  <si>
    <t xml:space="preserve">총공사비 : </t>
  </si>
  <si>
    <t>587</t>
  </si>
  <si>
    <t>3120160520277611</t>
  </si>
  <si>
    <t>IB0000004100</t>
  </si>
  <si>
    <t>.MA=LA(10) * 0.04</t>
  </si>
  <si>
    <t>코드</t>
  </si>
  <si>
    <t>( 호표 38 ) 유성페인트(붓칠) 철재면2회.1급 M2</t>
  </si>
  <si>
    <t>고  용  보  험  료</t>
  </si>
  <si>
    <t>4712181020938865</t>
  </si>
  <si>
    <t>AH0204001600</t>
  </si>
  <si>
    <t>( 호표 12 ) 철제커텐박스철거  M</t>
  </si>
  <si>
    <t>JUK18</t>
  </si>
  <si>
    <t xml:space="preserve"> 0.0400 </t>
  </si>
  <si>
    <t>0.068</t>
  </si>
  <si>
    <t>경량 구조틀 철거</t>
  </si>
  <si>
    <t>직접노무비 * 2.3%</t>
  </si>
  <si>
    <t>Ⅱ-84</t>
  </si>
  <si>
    <t>수량</t>
  </si>
  <si>
    <t>3016160420162667</t>
  </si>
  <si>
    <t>ZA00000000000003</t>
  </si>
  <si>
    <t>유성페인트 붓칠</t>
  </si>
  <si>
    <t>P10+P20</t>
  </si>
  <si>
    <t/>
  </si>
  <si>
    <t>( 호표 44 ) 걸레받이용 페인트칠 붓칠, 2회, 노무비 M2</t>
  </si>
  <si>
    <t>인테리어필름붙임</t>
  </si>
  <si>
    <t>조정률</t>
  </si>
  <si>
    <t>3016160420162660</t>
  </si>
  <si>
    <t>조합페인트</t>
  </si>
  <si>
    <t>사인공사</t>
  </si>
  <si>
    <t>ZA00000000000001</t>
  </si>
  <si>
    <t>도급액</t>
  </si>
  <si>
    <t>0105  도장공사</t>
  </si>
  <si>
    <t>-(10.362-9.42)*0.8</t>
  </si>
  <si>
    <t>T</t>
  </si>
  <si>
    <t>공종코드</t>
  </si>
  <si>
    <t>ㄱ형강</t>
  </si>
  <si>
    <t>AK0204300100</t>
  </si>
  <si>
    <t>JUK6</t>
  </si>
  <si>
    <t>3120160520277439</t>
  </si>
  <si>
    <t>AK0210000700</t>
  </si>
  <si>
    <t>0.019</t>
  </si>
  <si>
    <t>일 위 대 가</t>
  </si>
  <si>
    <t>AK0206050100</t>
  </si>
  <si>
    <t>AJ0301000200</t>
  </si>
  <si>
    <t>ZZB140100000</t>
  </si>
  <si>
    <t>노무비의 6%</t>
  </si>
  <si>
    <t>724</t>
  </si>
  <si>
    <t>아크로글로시(내부), 낙서방지</t>
  </si>
  <si>
    <t>용접공</t>
  </si>
  <si>
    <t>0102  철거공사</t>
  </si>
  <si>
    <t>2.3</t>
  </si>
  <si>
    <t>잡재료</t>
  </si>
  <si>
    <t>.EQ=LA(10, 0, 20) * 0.02</t>
  </si>
  <si>
    <t>공통자재</t>
  </si>
  <si>
    <t>0.45</t>
  </si>
  <si>
    <t>유리공</t>
  </si>
  <si>
    <t>노무비단가적용</t>
  </si>
  <si>
    <t>68</t>
  </si>
  <si>
    <t>할증</t>
  </si>
  <si>
    <t>간  접  재  료  비</t>
  </si>
  <si>
    <t>노무비 * 1.01%</t>
  </si>
  <si>
    <t>녹막이페인트 붓칠 - 재료비</t>
  </si>
  <si>
    <t>ZZB200100000</t>
  </si>
  <si>
    <t xml:space="preserve">  개 요 : 공용 스마트 교육공간 인프라 구축(건축)</t>
  </si>
  <si>
    <t>7</t>
  </si>
  <si>
    <t>자재 소운반</t>
  </si>
  <si>
    <t>P40</t>
  </si>
  <si>
    <t>개</t>
  </si>
  <si>
    <t>P10</t>
  </si>
  <si>
    <t>0.03</t>
  </si>
  <si>
    <t>JUK13</t>
  </si>
  <si>
    <t>A10+A20-A30</t>
  </si>
  <si>
    <t>( 호표 17 ) 세라민페인트칠 걸레받이,모르타르면3회 M2</t>
  </si>
  <si>
    <t>0107  창호및유리공사</t>
  </si>
  <si>
    <t>.MA=LA(10, 20, 30, 40) * 0.05</t>
  </si>
  <si>
    <t>3016171720162131</t>
  </si>
  <si>
    <t>0105</t>
  </si>
  <si>
    <t>조</t>
  </si>
  <si>
    <t>0.025*4</t>
  </si>
  <si>
    <t>공 종 별 내 역 서</t>
  </si>
  <si>
    <t>469</t>
  </si>
  <si>
    <t>622</t>
  </si>
  <si>
    <t>산  재  보  험  료</t>
  </si>
  <si>
    <t>초산비닐계접착제, 비닐타일용</t>
  </si>
  <si>
    <t>ZA00000000000008</t>
  </si>
  <si>
    <t>내장공</t>
  </si>
  <si>
    <t>0103</t>
  </si>
  <si>
    <t>3010220420287311</t>
  </si>
  <si>
    <t>3016150520155900</t>
  </si>
  <si>
    <t>건축 8-3-1</t>
  </si>
  <si>
    <t>경량철골천장틀, M-BAR더블, 50×19×0.5mm</t>
  </si>
  <si>
    <t>조합페인트, KSM6020-1종1급, 백색</t>
  </si>
  <si>
    <t>대</t>
  </si>
  <si>
    <t>인</t>
  </si>
  <si>
    <t>경량철골천장틀</t>
  </si>
  <si>
    <t>[ 소          계 ]</t>
  </si>
  <si>
    <t>메라코트 백색(소부도료)</t>
  </si>
  <si>
    <t>3121180322073041</t>
  </si>
  <si>
    <t>IN1000000100</t>
  </si>
  <si>
    <t>3016160420162659</t>
  </si>
  <si>
    <t>( 호표 19 ) 인테리어필름붙임 W=300이상, 3.6M이하 M2</t>
  </si>
  <si>
    <t xml:space="preserve"> 천장텍스설치 </t>
  </si>
  <si>
    <t>수성페인트</t>
  </si>
  <si>
    <t>.MA=LA(20, 30) * 0.03</t>
  </si>
  <si>
    <t>IA0000003500</t>
  </si>
  <si>
    <t>[7등급+7등급미만] 130억 미만 ~ 81억(고시금액) 이상</t>
  </si>
  <si>
    <t>E10</t>
  </si>
  <si>
    <t>철공</t>
  </si>
  <si>
    <t>설정</t>
  </si>
  <si>
    <t>경비 할증 계수</t>
  </si>
  <si>
    <t>건축 11-1-1</t>
  </si>
  <si>
    <t>A10</t>
  </si>
  <si>
    <t>5</t>
  </si>
  <si>
    <t>현장제작 설치, 일반철재</t>
  </si>
  <si>
    <t>식</t>
  </si>
  <si>
    <t>산출경비(기계경비)</t>
  </si>
  <si>
    <t>철재면, 1회, 1종</t>
  </si>
  <si>
    <t>장</t>
  </si>
  <si>
    <t>( 호표 27 ) 경량천장철골틀 설치 BAR간격 300mm M2</t>
  </si>
  <si>
    <t>3010150420288693</t>
  </si>
  <si>
    <t>AK0206050700</t>
  </si>
  <si>
    <t>0108</t>
  </si>
  <si>
    <t>YZS007000000</t>
  </si>
  <si>
    <t>55</t>
  </si>
  <si>
    <t>( 호표 46 ) 분체도장 철재면 M2</t>
  </si>
  <si>
    <t>청테이프</t>
  </si>
  <si>
    <t>.MA=LA(10, 0, 20) * 0.05</t>
  </si>
  <si>
    <t>409</t>
  </si>
  <si>
    <t>0.5</t>
  </si>
  <si>
    <t>검수자</t>
  </si>
  <si>
    <t>(AZZ+BZZ)*%%</t>
  </si>
  <si>
    <t>YZS001000000</t>
  </si>
  <si>
    <t>분체도장</t>
  </si>
  <si>
    <t>15</t>
  </si>
  <si>
    <t>경량철골천장틀, 달대볼트, 상9×1000mm</t>
  </si>
  <si>
    <t>퇴직  공제  부금비</t>
  </si>
  <si>
    <t>B10*%%</t>
  </si>
  <si>
    <t>YZS005000000</t>
  </si>
  <si>
    <t>YZS003000000</t>
  </si>
  <si>
    <t>시간당작업량</t>
  </si>
  <si>
    <t>.MA=LA(10, 20) * 0.06</t>
  </si>
  <si>
    <t>환율</t>
  </si>
  <si>
    <t>PVC바닥재</t>
  </si>
  <si>
    <t>철재면, 2회 칠, 1급</t>
  </si>
  <si>
    <t>단  가</t>
  </si>
  <si>
    <t>걸레받이용 페인트칠</t>
  </si>
  <si>
    <t>( 호표 40 ) 녹막이페인트 붓칠 - 재료비 철재면, 1회, 1종 M2</t>
  </si>
  <si>
    <t>15층 이하 기준</t>
  </si>
  <si>
    <t>원내역</t>
  </si>
  <si>
    <t>조달청가격</t>
  </si>
  <si>
    <t>1112200120142411</t>
  </si>
  <si>
    <t>( 호표 26 ) 인서트(Insert) 설치 설치대상 - 콘크리트 개</t>
  </si>
  <si>
    <t>CH0</t>
  </si>
  <si>
    <t>내역,일위대가 품명,규격,단위 따로적용</t>
  </si>
  <si>
    <t>품목구분</t>
  </si>
  <si>
    <t>673</t>
  </si>
  <si>
    <t>ZZA000100000</t>
  </si>
  <si>
    <t>계</t>
  </si>
  <si>
    <t>'20년 교육청</t>
  </si>
  <si>
    <t>14</t>
  </si>
  <si>
    <t>3016160420162663</t>
  </si>
  <si>
    <t>합판, T=3</t>
  </si>
  <si>
    <t>ZZB110100000</t>
  </si>
  <si>
    <t>E001010115010612</t>
  </si>
  <si>
    <t>W10</t>
  </si>
  <si>
    <t>0.088</t>
  </si>
  <si>
    <t>설 계 서 용 지 (갑 지)</t>
  </si>
  <si>
    <t>4.75</t>
  </si>
  <si>
    <t>백페인트글라스</t>
  </si>
  <si>
    <t>AK0209000100</t>
  </si>
  <si>
    <t>공사기간 1개월미만 제외</t>
  </si>
  <si>
    <t>공사기간 1개월미만 제외</t>
    <phoneticPr fontId="15" type="noConversion"/>
  </si>
  <si>
    <t>천원단위절삭</t>
    <phoneticPr fontId="15" type="noConversion"/>
  </si>
  <si>
    <t>합산 제외</t>
    <phoneticPr fontId="15" type="noConversion"/>
  </si>
  <si>
    <t>폐 기 물 처 리 비</t>
    <phoneticPr fontId="15" type="noConversion"/>
  </si>
  <si>
    <t>계 * 6%</t>
    <phoneticPr fontId="15" type="noConversion"/>
  </si>
  <si>
    <t>천단위 이하 버림</t>
    <phoneticPr fontId="15" type="noConversion"/>
  </si>
  <si>
    <t>직접노무비* 12%</t>
    <phoneticPr fontId="15" type="noConversion"/>
  </si>
  <si>
    <t>설    계    서    용    지</t>
    <phoneticPr fontId="18" type="noConversion"/>
  </si>
  <si>
    <t>확
인</t>
    <phoneticPr fontId="18" type="noConversion"/>
  </si>
  <si>
    <t>설
계</t>
    <phoneticPr fontId="18" type="noConversion"/>
  </si>
  <si>
    <t xml:space="preserve">  2026년        5월         일             설     계</t>
    <phoneticPr fontId="18" type="noConversion"/>
  </si>
  <si>
    <t>2026학년도</t>
    <phoneticPr fontId="15" type="noConversion"/>
  </si>
  <si>
    <t xml:space="preserve">공     사     명 : </t>
    <phoneticPr fontId="18" type="noConversion"/>
  </si>
  <si>
    <t>공용 스마트 교육공간 인프라 구축 건축공사</t>
    <phoneticPr fontId="15" type="noConversion"/>
  </si>
  <si>
    <t xml:space="preserve">설계공사금액 : </t>
    <phoneticPr fontId="18" type="noConversion"/>
  </si>
  <si>
    <t>(노무비+경비+일반관리비) * 12%</t>
    <phoneticPr fontId="15" type="noConversion"/>
  </si>
  <si>
    <t>추정금액 50억원이상 건설공사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</si>
</sst>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₩&quot;#,##0;[Red]\-&quot;₩&quot;#,##0"/>
    <numFmt numFmtId="176" formatCode="#,###;\-#,###;#"/>
    <numFmt numFmtId="177" formatCode="#,##0.0;\-#,##0.0;#"/>
    <numFmt numFmtId="178" formatCode="#,##0.00;\-#,##0.00;#"/>
    <numFmt numFmtId="179" formatCode="#,##0.000;\-#,##0.000;#"/>
    <numFmt numFmtId="180" formatCode="#,###;\-#,###;#;"/>
    <numFmt numFmtId="181" formatCode="#,##0.00#;\-#,##0.00#;#"/>
    <numFmt numFmtId="182" formatCode="#,###"/>
  </numFmts>
  <fonts count="23" x14ac:knownFonts="1"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sz val="16"/>
      <color theme="1"/>
      <name val="맑은 고딕"/>
      <family val="2"/>
      <scheme val="minor"/>
    </font>
    <font>
      <sz val="24"/>
      <color theme="1"/>
      <name val="맑은 고딕"/>
      <family val="2"/>
      <scheme val="minor"/>
    </font>
    <font>
      <sz val="11"/>
      <color theme="1"/>
      <name val="맑은 고딕"/>
      <family val="3"/>
    </font>
    <font>
      <u/>
      <sz val="11"/>
      <color theme="10"/>
      <name val="맑은 고딕"/>
      <family val="3"/>
    </font>
    <font>
      <sz val="32"/>
      <color theme="1"/>
      <name val="맑은 고딕"/>
      <family val="2"/>
      <scheme val="minor"/>
    </font>
    <font>
      <sz val="12"/>
      <color theme="1"/>
      <name val="맑은 고딕"/>
      <family val="2"/>
      <scheme val="minor"/>
    </font>
    <font>
      <sz val="11.2"/>
      <color theme="1"/>
      <name val="맑은 고딕"/>
      <family val="2"/>
      <scheme val="minor"/>
    </font>
    <font>
      <sz val="1.6"/>
      <color theme="1"/>
      <name val="맑은 고딕"/>
      <family val="2"/>
      <scheme val="minor"/>
    </font>
    <font>
      <sz val="11"/>
      <color theme="1"/>
      <name val="돋움체"/>
      <family val="3"/>
    </font>
    <font>
      <b/>
      <sz val="11"/>
      <color theme="1"/>
      <name val="맑은 고딕"/>
      <family val="3"/>
    </font>
    <font>
      <sz val="17.600000000000001"/>
      <color theme="1"/>
      <name val="맑은 고딕"/>
      <family val="2"/>
      <scheme val="minor"/>
    </font>
    <font>
      <b/>
      <u/>
      <sz val="16"/>
      <color theme="1"/>
      <name val="돋움체"/>
      <family val="3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name val="새굴림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새굴림"/>
      <family val="1"/>
      <charset val="129"/>
    </font>
    <font>
      <sz val="10"/>
      <name val="새굴림"/>
      <family val="1"/>
      <charset val="129"/>
    </font>
    <font>
      <sz val="12"/>
      <name val="새굴림"/>
      <family val="1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16" fillId="0" borderId="0">
      <alignment vertical="center"/>
    </xf>
    <xf numFmtId="0" fontId="19" fillId="0" borderId="0">
      <alignment vertical="center"/>
    </xf>
  </cellStyleXfs>
  <cellXfs count="112">
    <xf numFmtId="0" fontId="0" fillId="0" borderId="0" xfId="0"/>
    <xf numFmtId="0" fontId="5" fillId="0" borderId="1" xfId="0" applyFont="1" applyBorder="1" applyAlignment="1">
      <alignment horizontal="left" vertical="center" shrinkToFit="1"/>
    </xf>
    <xf numFmtId="181" fontId="5" fillId="0" borderId="9" xfId="0" applyNumberFormat="1" applyFont="1" applyBorder="1" applyAlignment="1">
      <alignment horizontal="right" vertical="center" shrinkToFit="1"/>
    </xf>
    <xf numFmtId="0" fontId="6" fillId="0" borderId="1" xfId="1" applyFont="1" applyBorder="1" applyAlignment="1">
      <alignment horizontal="right" vertical="center" shrinkToFit="1"/>
    </xf>
    <xf numFmtId="180" fontId="5" fillId="0" borderId="9" xfId="0" applyNumberFormat="1" applyFont="1" applyBorder="1" applyAlignment="1">
      <alignment horizontal="right" vertical="center" shrinkToFit="1"/>
    </xf>
    <xf numFmtId="0" fontId="12" fillId="0" borderId="0" xfId="0" applyFont="1" applyAlignment="1">
      <alignment horizontal="center" vertical="center" wrapText="1" shrinkToFit="1"/>
    </xf>
    <xf numFmtId="176" fontId="5" fillId="0" borderId="1" xfId="0" applyNumberFormat="1" applyFont="1" applyBorder="1" applyAlignment="1">
      <alignment horizontal="left" vertical="center" shrinkToFit="1"/>
    </xf>
    <xf numFmtId="0" fontId="5" fillId="0" borderId="9" xfId="0" applyFont="1" applyBorder="1" applyAlignment="1">
      <alignment horizontal="left" vertical="center"/>
    </xf>
    <xf numFmtId="177" fontId="5" fillId="0" borderId="9" xfId="0" applyNumberFormat="1" applyFont="1" applyBorder="1" applyAlignment="1">
      <alignment horizontal="right" vertical="center" shrinkToFit="1"/>
    </xf>
    <xf numFmtId="182" fontId="5" fillId="0" borderId="9" xfId="0" applyNumberFormat="1" applyFont="1" applyBorder="1" applyAlignment="1">
      <alignment horizontal="right" vertical="center" shrinkToFit="1"/>
    </xf>
    <xf numFmtId="180" fontId="5" fillId="0" borderId="9" xfId="0" applyNumberFormat="1" applyFont="1" applyBorder="1" applyAlignment="1">
      <alignment horizontal="left" vertical="center" shrinkToFit="1"/>
    </xf>
    <xf numFmtId="176" fontId="5" fillId="0" borderId="9" xfId="0" applyNumberFormat="1" applyFont="1" applyBorder="1" applyAlignment="1">
      <alignment horizontal="right" vertical="center" shrinkToFit="1"/>
    </xf>
    <xf numFmtId="179" fontId="5" fillId="0" borderId="9" xfId="0" applyNumberFormat="1" applyFont="1" applyBorder="1" applyAlignment="1">
      <alignment horizontal="right" vertical="center" shrinkToFit="1"/>
    </xf>
    <xf numFmtId="177" fontId="5" fillId="0" borderId="9" xfId="0" applyNumberFormat="1" applyFont="1" applyBorder="1" applyAlignment="1">
      <alignment horizontal="left" vertical="center" shrinkToFit="1"/>
    </xf>
    <xf numFmtId="0" fontId="6" fillId="0" borderId="0" xfId="1" applyFont="1" applyBorder="1" applyAlignment="1">
      <alignment horizontal="right" vertical="center" shrinkToFit="1"/>
    </xf>
    <xf numFmtId="0" fontId="5" fillId="0" borderId="0" xfId="0" applyFont="1" applyAlignment="1">
      <alignment horizontal="left" vertical="center" shrinkToFit="1"/>
    </xf>
    <xf numFmtId="178" fontId="5" fillId="0" borderId="9" xfId="0" applyNumberFormat="1" applyFont="1" applyBorder="1" applyAlignment="1">
      <alignment horizontal="right" vertical="center" shrinkToFit="1"/>
    </xf>
    <xf numFmtId="0" fontId="5" fillId="0" borderId="9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0" xfId="0" applyFont="1" applyAlignment="1">
      <alignment horizontal="right" vertical="center" shrinkToFit="1"/>
    </xf>
    <xf numFmtId="0" fontId="5" fillId="0" borderId="9" xfId="0" applyFont="1" applyBorder="1" applyAlignment="1">
      <alignment horizontal="left" vertical="center" shrinkToFit="1"/>
    </xf>
    <xf numFmtId="0" fontId="12" fillId="0" borderId="1" xfId="0" applyFont="1" applyBorder="1" applyAlignment="1">
      <alignment horizontal="center" vertical="center" wrapText="1" shrinkToFit="1"/>
    </xf>
    <xf numFmtId="176" fontId="5" fillId="0" borderId="0" xfId="0" applyNumberFormat="1" applyFont="1" applyAlignment="1">
      <alignment horizontal="left" vertical="center" shrinkToFit="1"/>
    </xf>
    <xf numFmtId="0" fontId="5" fillId="0" borderId="9" xfId="0" applyFont="1" applyBorder="1" applyAlignment="1">
      <alignment horizontal="right" vertical="center" shrinkToFit="1"/>
    </xf>
    <xf numFmtId="0" fontId="5" fillId="0" borderId="13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right" vertical="center" shrinkToFit="1"/>
    </xf>
    <xf numFmtId="0" fontId="5" fillId="0" borderId="9" xfId="0" applyFont="1" applyBorder="1" applyAlignment="1">
      <alignment horizontal="center" vertical="center" wrapText="1"/>
    </xf>
    <xf numFmtId="0" fontId="19" fillId="0" borderId="0" xfId="3">
      <alignment vertical="center"/>
    </xf>
    <xf numFmtId="0" fontId="17" fillId="0" borderId="0" xfId="2" applyFont="1" applyAlignment="1">
      <alignment horizontal="center" vertical="center"/>
    </xf>
    <xf numFmtId="0" fontId="20" fillId="0" borderId="23" xfId="2" applyFont="1" applyBorder="1" applyAlignment="1">
      <alignment horizontal="center" vertical="center" wrapText="1"/>
    </xf>
    <xf numFmtId="0" fontId="20" fillId="0" borderId="6" xfId="2" applyFont="1" applyBorder="1" applyAlignment="1">
      <alignment horizontal="center" vertical="center"/>
    </xf>
    <xf numFmtId="0" fontId="20" fillId="0" borderId="0" xfId="2" applyFont="1" applyAlignment="1">
      <alignment horizontal="center"/>
    </xf>
    <xf numFmtId="0" fontId="20" fillId="0" borderId="0" xfId="2" quotePrefix="1" applyFont="1" applyAlignment="1">
      <alignment horizontal="center"/>
    </xf>
    <xf numFmtId="0" fontId="20" fillId="0" borderId="0" xfId="2" applyFont="1" applyAlignment="1">
      <alignment horizontal="center" vertical="center"/>
    </xf>
    <xf numFmtId="0" fontId="21" fillId="0" borderId="2" xfId="2" applyFont="1" applyBorder="1">
      <alignment vertical="center"/>
    </xf>
    <xf numFmtId="0" fontId="20" fillId="0" borderId="6" xfId="2" applyFont="1" applyBorder="1">
      <alignment vertical="center"/>
    </xf>
    <xf numFmtId="0" fontId="20" fillId="0" borderId="0" xfId="2" quotePrefix="1" applyFont="1">
      <alignment vertical="center"/>
    </xf>
    <xf numFmtId="0" fontId="20" fillId="0" borderId="2" xfId="2" applyFont="1" applyBorder="1">
      <alignment vertical="center"/>
    </xf>
    <xf numFmtId="0" fontId="20" fillId="0" borderId="6" xfId="2" quotePrefix="1" applyFont="1" applyBorder="1" applyAlignment="1">
      <alignment horizontal="center" vertical="center"/>
    </xf>
    <xf numFmtId="6" fontId="20" fillId="0" borderId="0" xfId="2" applyNumberFormat="1" applyFont="1" applyAlignment="1">
      <alignment horizontal="center" vertical="center"/>
    </xf>
    <xf numFmtId="0" fontId="22" fillId="0" borderId="0" xfId="2" applyFont="1" applyAlignment="1">
      <alignment horizontal="center" vertical="center"/>
    </xf>
    <xf numFmtId="0" fontId="22" fillId="0" borderId="0" xfId="2" applyFont="1" applyAlignment="1">
      <alignment horizontal="right" vertical="center"/>
    </xf>
    <xf numFmtId="0" fontId="22" fillId="0" borderId="0" xfId="2" quotePrefix="1" applyFont="1" applyAlignment="1">
      <alignment horizontal="right" vertical="center"/>
    </xf>
    <xf numFmtId="6" fontId="22" fillId="0" borderId="0" xfId="2" applyNumberFormat="1" applyFont="1" applyAlignment="1">
      <alignment horizontal="center" vertical="center"/>
    </xf>
    <xf numFmtId="0" fontId="20" fillId="0" borderId="17" xfId="2" applyFont="1" applyBorder="1" applyAlignment="1">
      <alignment horizontal="center" vertical="center"/>
    </xf>
    <xf numFmtId="0" fontId="20" fillId="0" borderId="11" xfId="2" applyFont="1" applyBorder="1" applyAlignment="1">
      <alignment horizontal="center" vertical="center"/>
    </xf>
    <xf numFmtId="0" fontId="21" fillId="0" borderId="19" xfId="2" applyFont="1" applyBorder="1">
      <alignment vertical="center"/>
    </xf>
    <xf numFmtId="0" fontId="22" fillId="0" borderId="7" xfId="2" applyFont="1" applyBorder="1" applyAlignment="1">
      <alignment horizontal="center" vertical="center"/>
    </xf>
    <xf numFmtId="0" fontId="22" fillId="0" borderId="7" xfId="2" applyFont="1" applyBorder="1" applyAlignment="1">
      <alignment horizontal="left" vertical="center" indent="2"/>
    </xf>
    <xf numFmtId="0" fontId="17" fillId="0" borderId="0" xfId="2" applyFont="1" applyAlignment="1">
      <alignment horizontal="center" vertical="center"/>
    </xf>
    <xf numFmtId="0" fontId="20" fillId="0" borderId="24" xfId="2" applyFont="1" applyBorder="1" applyAlignment="1">
      <alignment horizontal="center" vertical="center"/>
    </xf>
    <xf numFmtId="0" fontId="20" fillId="0" borderId="25" xfId="2" applyFont="1" applyBorder="1" applyAlignment="1">
      <alignment horizontal="center" vertical="center"/>
    </xf>
    <xf numFmtId="0" fontId="20" fillId="0" borderId="24" xfId="2" applyFont="1" applyBorder="1" applyAlignment="1">
      <alignment horizontal="center" vertical="center" wrapText="1"/>
    </xf>
    <xf numFmtId="0" fontId="20" fillId="0" borderId="25" xfId="2" applyFont="1" applyBorder="1" applyAlignment="1">
      <alignment horizontal="center" vertical="center" wrapText="1"/>
    </xf>
    <xf numFmtId="0" fontId="20" fillId="0" borderId="22" xfId="2" applyFont="1" applyBorder="1" applyAlignment="1">
      <alignment horizontal="center" vertical="center"/>
    </xf>
    <xf numFmtId="0" fontId="20" fillId="0" borderId="20" xfId="2" applyFont="1" applyBorder="1" applyAlignment="1">
      <alignment horizontal="center" vertical="center"/>
    </xf>
    <xf numFmtId="0" fontId="20" fillId="0" borderId="0" xfId="2" quotePrefix="1" applyFont="1" applyAlignment="1">
      <alignment horizontal="center" vertical="center"/>
    </xf>
    <xf numFmtId="0" fontId="22" fillId="0" borderId="26" xfId="2" applyFont="1" applyBorder="1" applyAlignment="1">
      <alignment horizontal="center" vertical="center"/>
    </xf>
    <xf numFmtId="0" fontId="22" fillId="0" borderId="26" xfId="2" applyFont="1" applyBorder="1" applyAlignment="1">
      <alignment horizontal="left" vertical="center" wrapText="1" indent="2"/>
    </xf>
    <xf numFmtId="0" fontId="7" fillId="0" borderId="1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80" fontId="9" fillId="0" borderId="5" xfId="0" applyNumberFormat="1" applyFont="1" applyBorder="1" applyAlignment="1">
      <alignment horizontal="right" vertical="center"/>
    </xf>
    <xf numFmtId="180" fontId="9" fillId="0" borderId="10" xfId="0" applyNumberFormat="1" applyFon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3" fillId="0" borderId="7" xfId="0" applyFont="1" applyBorder="1" applyAlignment="1">
      <alignment horizontal="right" vertical="center"/>
    </xf>
    <xf numFmtId="0" fontId="13" fillId="0" borderId="7" xfId="0" applyFont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7" xfId="0" applyBorder="1" applyAlignment="1">
      <alignment horizontal="right" vertical="center"/>
    </xf>
    <xf numFmtId="0" fontId="2" fillId="0" borderId="1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</cellXfs>
  <cellStyles count="4">
    <cellStyle name="표준" xfId="0" builtinId="0"/>
    <cellStyle name="표준 2" xfId="3" xr:uid="{88E9793F-7303-4EB5-AA2D-474AE425E093}"/>
    <cellStyle name="표준 2 2" xfId="2" xr:uid="{5BACB2DD-698B-493B-8987-1F7CA6E41408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6BAB0-F2FC-4825-990E-C58C52D87A74}">
  <sheetPr>
    <pageSetUpPr fitToPage="1"/>
  </sheetPr>
  <dimension ref="B1:K10"/>
  <sheetViews>
    <sheetView view="pageBreakPreview" zoomScaleNormal="100" zoomScaleSheetLayoutView="100" workbookViewId="0">
      <selection activeCell="O10" sqref="O10"/>
    </sheetView>
  </sheetViews>
  <sheetFormatPr defaultRowHeight="16.5" x14ac:dyDescent="0.3"/>
  <cols>
    <col min="1" max="1" width="2.5" style="28" customWidth="1"/>
    <col min="2" max="7" width="9.375" style="28" customWidth="1"/>
    <col min="8" max="11" width="15" style="28" customWidth="1"/>
    <col min="12" max="12" width="2.5" style="28" customWidth="1"/>
    <col min="13" max="258" width="9" style="28"/>
    <col min="259" max="259" width="5.625" style="28" customWidth="1"/>
    <col min="260" max="260" width="10.625" style="28" customWidth="1"/>
    <col min="261" max="261" width="6.625" style="28" customWidth="1"/>
    <col min="262" max="262" width="6.75" style="28" customWidth="1"/>
    <col min="263" max="263" width="16.625" style="28" customWidth="1"/>
    <col min="264" max="264" width="6.75" style="28" customWidth="1"/>
    <col min="265" max="265" width="16.625" style="28" customWidth="1"/>
    <col min="266" max="266" width="18.75" style="28" customWidth="1"/>
    <col min="267" max="267" width="22.625" style="28" customWidth="1"/>
    <col min="268" max="268" width="17.5" style="28" customWidth="1"/>
    <col min="269" max="514" width="9" style="28"/>
    <col min="515" max="515" width="5.625" style="28" customWidth="1"/>
    <col min="516" max="516" width="10.625" style="28" customWidth="1"/>
    <col min="517" max="517" width="6.625" style="28" customWidth="1"/>
    <col min="518" max="518" width="6.75" style="28" customWidth="1"/>
    <col min="519" max="519" width="16.625" style="28" customWidth="1"/>
    <col min="520" max="520" width="6.75" style="28" customWidth="1"/>
    <col min="521" max="521" width="16.625" style="28" customWidth="1"/>
    <col min="522" max="522" width="18.75" style="28" customWidth="1"/>
    <col min="523" max="523" width="22.625" style="28" customWidth="1"/>
    <col min="524" max="524" width="17.5" style="28" customWidth="1"/>
    <col min="525" max="770" width="9" style="28"/>
    <col min="771" max="771" width="5.625" style="28" customWidth="1"/>
    <col min="772" max="772" width="10.625" style="28" customWidth="1"/>
    <col min="773" max="773" width="6.625" style="28" customWidth="1"/>
    <col min="774" max="774" width="6.75" style="28" customWidth="1"/>
    <col min="775" max="775" width="16.625" style="28" customWidth="1"/>
    <col min="776" max="776" width="6.75" style="28" customWidth="1"/>
    <col min="777" max="777" width="16.625" style="28" customWidth="1"/>
    <col min="778" max="778" width="18.75" style="28" customWidth="1"/>
    <col min="779" max="779" width="22.625" style="28" customWidth="1"/>
    <col min="780" max="780" width="17.5" style="28" customWidth="1"/>
    <col min="781" max="1026" width="9" style="28"/>
    <col min="1027" max="1027" width="5.625" style="28" customWidth="1"/>
    <col min="1028" max="1028" width="10.625" style="28" customWidth="1"/>
    <col min="1029" max="1029" width="6.625" style="28" customWidth="1"/>
    <col min="1030" max="1030" width="6.75" style="28" customWidth="1"/>
    <col min="1031" max="1031" width="16.625" style="28" customWidth="1"/>
    <col min="1032" max="1032" width="6.75" style="28" customWidth="1"/>
    <col min="1033" max="1033" width="16.625" style="28" customWidth="1"/>
    <col min="1034" max="1034" width="18.75" style="28" customWidth="1"/>
    <col min="1035" max="1035" width="22.625" style="28" customWidth="1"/>
    <col min="1036" max="1036" width="17.5" style="28" customWidth="1"/>
    <col min="1037" max="1282" width="9" style="28"/>
    <col min="1283" max="1283" width="5.625" style="28" customWidth="1"/>
    <col min="1284" max="1284" width="10.625" style="28" customWidth="1"/>
    <col min="1285" max="1285" width="6.625" style="28" customWidth="1"/>
    <col min="1286" max="1286" width="6.75" style="28" customWidth="1"/>
    <col min="1287" max="1287" width="16.625" style="28" customWidth="1"/>
    <col min="1288" max="1288" width="6.75" style="28" customWidth="1"/>
    <col min="1289" max="1289" width="16.625" style="28" customWidth="1"/>
    <col min="1290" max="1290" width="18.75" style="28" customWidth="1"/>
    <col min="1291" max="1291" width="22.625" style="28" customWidth="1"/>
    <col min="1292" max="1292" width="17.5" style="28" customWidth="1"/>
    <col min="1293" max="1538" width="9" style="28"/>
    <col min="1539" max="1539" width="5.625" style="28" customWidth="1"/>
    <col min="1540" max="1540" width="10.625" style="28" customWidth="1"/>
    <col min="1541" max="1541" width="6.625" style="28" customWidth="1"/>
    <col min="1542" max="1542" width="6.75" style="28" customWidth="1"/>
    <col min="1543" max="1543" width="16.625" style="28" customWidth="1"/>
    <col min="1544" max="1544" width="6.75" style="28" customWidth="1"/>
    <col min="1545" max="1545" width="16.625" style="28" customWidth="1"/>
    <col min="1546" max="1546" width="18.75" style="28" customWidth="1"/>
    <col min="1547" max="1547" width="22.625" style="28" customWidth="1"/>
    <col min="1548" max="1548" width="17.5" style="28" customWidth="1"/>
    <col min="1549" max="1794" width="9" style="28"/>
    <col min="1795" max="1795" width="5.625" style="28" customWidth="1"/>
    <col min="1796" max="1796" width="10.625" style="28" customWidth="1"/>
    <col min="1797" max="1797" width="6.625" style="28" customWidth="1"/>
    <col min="1798" max="1798" width="6.75" style="28" customWidth="1"/>
    <col min="1799" max="1799" width="16.625" style="28" customWidth="1"/>
    <col min="1800" max="1800" width="6.75" style="28" customWidth="1"/>
    <col min="1801" max="1801" width="16.625" style="28" customWidth="1"/>
    <col min="1802" max="1802" width="18.75" style="28" customWidth="1"/>
    <col min="1803" max="1803" width="22.625" style="28" customWidth="1"/>
    <col min="1804" max="1804" width="17.5" style="28" customWidth="1"/>
    <col min="1805" max="2050" width="9" style="28"/>
    <col min="2051" max="2051" width="5.625" style="28" customWidth="1"/>
    <col min="2052" max="2052" width="10.625" style="28" customWidth="1"/>
    <col min="2053" max="2053" width="6.625" style="28" customWidth="1"/>
    <col min="2054" max="2054" width="6.75" style="28" customWidth="1"/>
    <col min="2055" max="2055" width="16.625" style="28" customWidth="1"/>
    <col min="2056" max="2056" width="6.75" style="28" customWidth="1"/>
    <col min="2057" max="2057" width="16.625" style="28" customWidth="1"/>
    <col min="2058" max="2058" width="18.75" style="28" customWidth="1"/>
    <col min="2059" max="2059" width="22.625" style="28" customWidth="1"/>
    <col min="2060" max="2060" width="17.5" style="28" customWidth="1"/>
    <col min="2061" max="2306" width="9" style="28"/>
    <col min="2307" max="2307" width="5.625" style="28" customWidth="1"/>
    <col min="2308" max="2308" width="10.625" style="28" customWidth="1"/>
    <col min="2309" max="2309" width="6.625" style="28" customWidth="1"/>
    <col min="2310" max="2310" width="6.75" style="28" customWidth="1"/>
    <col min="2311" max="2311" width="16.625" style="28" customWidth="1"/>
    <col min="2312" max="2312" width="6.75" style="28" customWidth="1"/>
    <col min="2313" max="2313" width="16.625" style="28" customWidth="1"/>
    <col min="2314" max="2314" width="18.75" style="28" customWidth="1"/>
    <col min="2315" max="2315" width="22.625" style="28" customWidth="1"/>
    <col min="2316" max="2316" width="17.5" style="28" customWidth="1"/>
    <col min="2317" max="2562" width="9" style="28"/>
    <col min="2563" max="2563" width="5.625" style="28" customWidth="1"/>
    <col min="2564" max="2564" width="10.625" style="28" customWidth="1"/>
    <col min="2565" max="2565" width="6.625" style="28" customWidth="1"/>
    <col min="2566" max="2566" width="6.75" style="28" customWidth="1"/>
    <col min="2567" max="2567" width="16.625" style="28" customWidth="1"/>
    <col min="2568" max="2568" width="6.75" style="28" customWidth="1"/>
    <col min="2569" max="2569" width="16.625" style="28" customWidth="1"/>
    <col min="2570" max="2570" width="18.75" style="28" customWidth="1"/>
    <col min="2571" max="2571" width="22.625" style="28" customWidth="1"/>
    <col min="2572" max="2572" width="17.5" style="28" customWidth="1"/>
    <col min="2573" max="2818" width="9" style="28"/>
    <col min="2819" max="2819" width="5.625" style="28" customWidth="1"/>
    <col min="2820" max="2820" width="10.625" style="28" customWidth="1"/>
    <col min="2821" max="2821" width="6.625" style="28" customWidth="1"/>
    <col min="2822" max="2822" width="6.75" style="28" customWidth="1"/>
    <col min="2823" max="2823" width="16.625" style="28" customWidth="1"/>
    <col min="2824" max="2824" width="6.75" style="28" customWidth="1"/>
    <col min="2825" max="2825" width="16.625" style="28" customWidth="1"/>
    <col min="2826" max="2826" width="18.75" style="28" customWidth="1"/>
    <col min="2827" max="2827" width="22.625" style="28" customWidth="1"/>
    <col min="2828" max="2828" width="17.5" style="28" customWidth="1"/>
    <col min="2829" max="3074" width="9" style="28"/>
    <col min="3075" max="3075" width="5.625" style="28" customWidth="1"/>
    <col min="3076" max="3076" width="10.625" style="28" customWidth="1"/>
    <col min="3077" max="3077" width="6.625" style="28" customWidth="1"/>
    <col min="3078" max="3078" width="6.75" style="28" customWidth="1"/>
    <col min="3079" max="3079" width="16.625" style="28" customWidth="1"/>
    <col min="3080" max="3080" width="6.75" style="28" customWidth="1"/>
    <col min="3081" max="3081" width="16.625" style="28" customWidth="1"/>
    <col min="3082" max="3082" width="18.75" style="28" customWidth="1"/>
    <col min="3083" max="3083" width="22.625" style="28" customWidth="1"/>
    <col min="3084" max="3084" width="17.5" style="28" customWidth="1"/>
    <col min="3085" max="3330" width="9" style="28"/>
    <col min="3331" max="3331" width="5.625" style="28" customWidth="1"/>
    <col min="3332" max="3332" width="10.625" style="28" customWidth="1"/>
    <col min="3333" max="3333" width="6.625" style="28" customWidth="1"/>
    <col min="3334" max="3334" width="6.75" style="28" customWidth="1"/>
    <col min="3335" max="3335" width="16.625" style="28" customWidth="1"/>
    <col min="3336" max="3336" width="6.75" style="28" customWidth="1"/>
    <col min="3337" max="3337" width="16.625" style="28" customWidth="1"/>
    <col min="3338" max="3338" width="18.75" style="28" customWidth="1"/>
    <col min="3339" max="3339" width="22.625" style="28" customWidth="1"/>
    <col min="3340" max="3340" width="17.5" style="28" customWidth="1"/>
    <col min="3341" max="3586" width="9" style="28"/>
    <col min="3587" max="3587" width="5.625" style="28" customWidth="1"/>
    <col min="3588" max="3588" width="10.625" style="28" customWidth="1"/>
    <col min="3589" max="3589" width="6.625" style="28" customWidth="1"/>
    <col min="3590" max="3590" width="6.75" style="28" customWidth="1"/>
    <col min="3591" max="3591" width="16.625" style="28" customWidth="1"/>
    <col min="3592" max="3592" width="6.75" style="28" customWidth="1"/>
    <col min="3593" max="3593" width="16.625" style="28" customWidth="1"/>
    <col min="3594" max="3594" width="18.75" style="28" customWidth="1"/>
    <col min="3595" max="3595" width="22.625" style="28" customWidth="1"/>
    <col min="3596" max="3596" width="17.5" style="28" customWidth="1"/>
    <col min="3597" max="3842" width="9" style="28"/>
    <col min="3843" max="3843" width="5.625" style="28" customWidth="1"/>
    <col min="3844" max="3844" width="10.625" style="28" customWidth="1"/>
    <col min="3845" max="3845" width="6.625" style="28" customWidth="1"/>
    <col min="3846" max="3846" width="6.75" style="28" customWidth="1"/>
    <col min="3847" max="3847" width="16.625" style="28" customWidth="1"/>
    <col min="3848" max="3848" width="6.75" style="28" customWidth="1"/>
    <col min="3849" max="3849" width="16.625" style="28" customWidth="1"/>
    <col min="3850" max="3850" width="18.75" style="28" customWidth="1"/>
    <col min="3851" max="3851" width="22.625" style="28" customWidth="1"/>
    <col min="3852" max="3852" width="17.5" style="28" customWidth="1"/>
    <col min="3853" max="4098" width="9" style="28"/>
    <col min="4099" max="4099" width="5.625" style="28" customWidth="1"/>
    <col min="4100" max="4100" width="10.625" style="28" customWidth="1"/>
    <col min="4101" max="4101" width="6.625" style="28" customWidth="1"/>
    <col min="4102" max="4102" width="6.75" style="28" customWidth="1"/>
    <col min="4103" max="4103" width="16.625" style="28" customWidth="1"/>
    <col min="4104" max="4104" width="6.75" style="28" customWidth="1"/>
    <col min="4105" max="4105" width="16.625" style="28" customWidth="1"/>
    <col min="4106" max="4106" width="18.75" style="28" customWidth="1"/>
    <col min="4107" max="4107" width="22.625" style="28" customWidth="1"/>
    <col min="4108" max="4108" width="17.5" style="28" customWidth="1"/>
    <col min="4109" max="4354" width="9" style="28"/>
    <col min="4355" max="4355" width="5.625" style="28" customWidth="1"/>
    <col min="4356" max="4356" width="10.625" style="28" customWidth="1"/>
    <col min="4357" max="4357" width="6.625" style="28" customWidth="1"/>
    <col min="4358" max="4358" width="6.75" style="28" customWidth="1"/>
    <col min="4359" max="4359" width="16.625" style="28" customWidth="1"/>
    <col min="4360" max="4360" width="6.75" style="28" customWidth="1"/>
    <col min="4361" max="4361" width="16.625" style="28" customWidth="1"/>
    <col min="4362" max="4362" width="18.75" style="28" customWidth="1"/>
    <col min="4363" max="4363" width="22.625" style="28" customWidth="1"/>
    <col min="4364" max="4364" width="17.5" style="28" customWidth="1"/>
    <col min="4365" max="4610" width="9" style="28"/>
    <col min="4611" max="4611" width="5.625" style="28" customWidth="1"/>
    <col min="4612" max="4612" width="10.625" style="28" customWidth="1"/>
    <col min="4613" max="4613" width="6.625" style="28" customWidth="1"/>
    <col min="4614" max="4614" width="6.75" style="28" customWidth="1"/>
    <col min="4615" max="4615" width="16.625" style="28" customWidth="1"/>
    <col min="4616" max="4616" width="6.75" style="28" customWidth="1"/>
    <col min="4617" max="4617" width="16.625" style="28" customWidth="1"/>
    <col min="4618" max="4618" width="18.75" style="28" customWidth="1"/>
    <col min="4619" max="4619" width="22.625" style="28" customWidth="1"/>
    <col min="4620" max="4620" width="17.5" style="28" customWidth="1"/>
    <col min="4621" max="4866" width="9" style="28"/>
    <col min="4867" max="4867" width="5.625" style="28" customWidth="1"/>
    <col min="4868" max="4868" width="10.625" style="28" customWidth="1"/>
    <col min="4869" max="4869" width="6.625" style="28" customWidth="1"/>
    <col min="4870" max="4870" width="6.75" style="28" customWidth="1"/>
    <col min="4871" max="4871" width="16.625" style="28" customWidth="1"/>
    <col min="4872" max="4872" width="6.75" style="28" customWidth="1"/>
    <col min="4873" max="4873" width="16.625" style="28" customWidth="1"/>
    <col min="4874" max="4874" width="18.75" style="28" customWidth="1"/>
    <col min="4875" max="4875" width="22.625" style="28" customWidth="1"/>
    <col min="4876" max="4876" width="17.5" style="28" customWidth="1"/>
    <col min="4877" max="5122" width="9" style="28"/>
    <col min="5123" max="5123" width="5.625" style="28" customWidth="1"/>
    <col min="5124" max="5124" width="10.625" style="28" customWidth="1"/>
    <col min="5125" max="5125" width="6.625" style="28" customWidth="1"/>
    <col min="5126" max="5126" width="6.75" style="28" customWidth="1"/>
    <col min="5127" max="5127" width="16.625" style="28" customWidth="1"/>
    <col min="5128" max="5128" width="6.75" style="28" customWidth="1"/>
    <col min="5129" max="5129" width="16.625" style="28" customWidth="1"/>
    <col min="5130" max="5130" width="18.75" style="28" customWidth="1"/>
    <col min="5131" max="5131" width="22.625" style="28" customWidth="1"/>
    <col min="5132" max="5132" width="17.5" style="28" customWidth="1"/>
    <col min="5133" max="5378" width="9" style="28"/>
    <col min="5379" max="5379" width="5.625" style="28" customWidth="1"/>
    <col min="5380" max="5380" width="10.625" style="28" customWidth="1"/>
    <col min="5381" max="5381" width="6.625" style="28" customWidth="1"/>
    <col min="5382" max="5382" width="6.75" style="28" customWidth="1"/>
    <col min="5383" max="5383" width="16.625" style="28" customWidth="1"/>
    <col min="5384" max="5384" width="6.75" style="28" customWidth="1"/>
    <col min="5385" max="5385" width="16.625" style="28" customWidth="1"/>
    <col min="5386" max="5386" width="18.75" style="28" customWidth="1"/>
    <col min="5387" max="5387" width="22.625" style="28" customWidth="1"/>
    <col min="5388" max="5388" width="17.5" style="28" customWidth="1"/>
    <col min="5389" max="5634" width="9" style="28"/>
    <col min="5635" max="5635" width="5.625" style="28" customWidth="1"/>
    <col min="5636" max="5636" width="10.625" style="28" customWidth="1"/>
    <col min="5637" max="5637" width="6.625" style="28" customWidth="1"/>
    <col min="5638" max="5638" width="6.75" style="28" customWidth="1"/>
    <col min="5639" max="5639" width="16.625" style="28" customWidth="1"/>
    <col min="5640" max="5640" width="6.75" style="28" customWidth="1"/>
    <col min="5641" max="5641" width="16.625" style="28" customWidth="1"/>
    <col min="5642" max="5642" width="18.75" style="28" customWidth="1"/>
    <col min="5643" max="5643" width="22.625" style="28" customWidth="1"/>
    <col min="5644" max="5644" width="17.5" style="28" customWidth="1"/>
    <col min="5645" max="5890" width="9" style="28"/>
    <col min="5891" max="5891" width="5.625" style="28" customWidth="1"/>
    <col min="5892" max="5892" width="10.625" style="28" customWidth="1"/>
    <col min="5893" max="5893" width="6.625" style="28" customWidth="1"/>
    <col min="5894" max="5894" width="6.75" style="28" customWidth="1"/>
    <col min="5895" max="5895" width="16.625" style="28" customWidth="1"/>
    <col min="5896" max="5896" width="6.75" style="28" customWidth="1"/>
    <col min="5897" max="5897" width="16.625" style="28" customWidth="1"/>
    <col min="5898" max="5898" width="18.75" style="28" customWidth="1"/>
    <col min="5899" max="5899" width="22.625" style="28" customWidth="1"/>
    <col min="5900" max="5900" width="17.5" style="28" customWidth="1"/>
    <col min="5901" max="6146" width="9" style="28"/>
    <col min="6147" max="6147" width="5.625" style="28" customWidth="1"/>
    <col min="6148" max="6148" width="10.625" style="28" customWidth="1"/>
    <col min="6149" max="6149" width="6.625" style="28" customWidth="1"/>
    <col min="6150" max="6150" width="6.75" style="28" customWidth="1"/>
    <col min="6151" max="6151" width="16.625" style="28" customWidth="1"/>
    <col min="6152" max="6152" width="6.75" style="28" customWidth="1"/>
    <col min="6153" max="6153" width="16.625" style="28" customWidth="1"/>
    <col min="6154" max="6154" width="18.75" style="28" customWidth="1"/>
    <col min="6155" max="6155" width="22.625" style="28" customWidth="1"/>
    <col min="6156" max="6156" width="17.5" style="28" customWidth="1"/>
    <col min="6157" max="6402" width="9" style="28"/>
    <col min="6403" max="6403" width="5.625" style="28" customWidth="1"/>
    <col min="6404" max="6404" width="10.625" style="28" customWidth="1"/>
    <col min="6405" max="6405" width="6.625" style="28" customWidth="1"/>
    <col min="6406" max="6406" width="6.75" style="28" customWidth="1"/>
    <col min="6407" max="6407" width="16.625" style="28" customWidth="1"/>
    <col min="6408" max="6408" width="6.75" style="28" customWidth="1"/>
    <col min="6409" max="6409" width="16.625" style="28" customWidth="1"/>
    <col min="6410" max="6410" width="18.75" style="28" customWidth="1"/>
    <col min="6411" max="6411" width="22.625" style="28" customWidth="1"/>
    <col min="6412" max="6412" width="17.5" style="28" customWidth="1"/>
    <col min="6413" max="6658" width="9" style="28"/>
    <col min="6659" max="6659" width="5.625" style="28" customWidth="1"/>
    <col min="6660" max="6660" width="10.625" style="28" customWidth="1"/>
    <col min="6661" max="6661" width="6.625" style="28" customWidth="1"/>
    <col min="6662" max="6662" width="6.75" style="28" customWidth="1"/>
    <col min="6663" max="6663" width="16.625" style="28" customWidth="1"/>
    <col min="6664" max="6664" width="6.75" style="28" customWidth="1"/>
    <col min="6665" max="6665" width="16.625" style="28" customWidth="1"/>
    <col min="6666" max="6666" width="18.75" style="28" customWidth="1"/>
    <col min="6667" max="6667" width="22.625" style="28" customWidth="1"/>
    <col min="6668" max="6668" width="17.5" style="28" customWidth="1"/>
    <col min="6669" max="6914" width="9" style="28"/>
    <col min="6915" max="6915" width="5.625" style="28" customWidth="1"/>
    <col min="6916" max="6916" width="10.625" style="28" customWidth="1"/>
    <col min="6917" max="6917" width="6.625" style="28" customWidth="1"/>
    <col min="6918" max="6918" width="6.75" style="28" customWidth="1"/>
    <col min="6919" max="6919" width="16.625" style="28" customWidth="1"/>
    <col min="6920" max="6920" width="6.75" style="28" customWidth="1"/>
    <col min="6921" max="6921" width="16.625" style="28" customWidth="1"/>
    <col min="6922" max="6922" width="18.75" style="28" customWidth="1"/>
    <col min="6923" max="6923" width="22.625" style="28" customWidth="1"/>
    <col min="6924" max="6924" width="17.5" style="28" customWidth="1"/>
    <col min="6925" max="7170" width="9" style="28"/>
    <col min="7171" max="7171" width="5.625" style="28" customWidth="1"/>
    <col min="7172" max="7172" width="10.625" style="28" customWidth="1"/>
    <col min="7173" max="7173" width="6.625" style="28" customWidth="1"/>
    <col min="7174" max="7174" width="6.75" style="28" customWidth="1"/>
    <col min="7175" max="7175" width="16.625" style="28" customWidth="1"/>
    <col min="7176" max="7176" width="6.75" style="28" customWidth="1"/>
    <col min="7177" max="7177" width="16.625" style="28" customWidth="1"/>
    <col min="7178" max="7178" width="18.75" style="28" customWidth="1"/>
    <col min="7179" max="7179" width="22.625" style="28" customWidth="1"/>
    <col min="7180" max="7180" width="17.5" style="28" customWidth="1"/>
    <col min="7181" max="7426" width="9" style="28"/>
    <col min="7427" max="7427" width="5.625" style="28" customWidth="1"/>
    <col min="7428" max="7428" width="10.625" style="28" customWidth="1"/>
    <col min="7429" max="7429" width="6.625" style="28" customWidth="1"/>
    <col min="7430" max="7430" width="6.75" style="28" customWidth="1"/>
    <col min="7431" max="7431" width="16.625" style="28" customWidth="1"/>
    <col min="7432" max="7432" width="6.75" style="28" customWidth="1"/>
    <col min="7433" max="7433" width="16.625" style="28" customWidth="1"/>
    <col min="7434" max="7434" width="18.75" style="28" customWidth="1"/>
    <col min="7435" max="7435" width="22.625" style="28" customWidth="1"/>
    <col min="7436" max="7436" width="17.5" style="28" customWidth="1"/>
    <col min="7437" max="7682" width="9" style="28"/>
    <col min="7683" max="7683" width="5.625" style="28" customWidth="1"/>
    <col min="7684" max="7684" width="10.625" style="28" customWidth="1"/>
    <col min="7685" max="7685" width="6.625" style="28" customWidth="1"/>
    <col min="7686" max="7686" width="6.75" style="28" customWidth="1"/>
    <col min="7687" max="7687" width="16.625" style="28" customWidth="1"/>
    <col min="7688" max="7688" width="6.75" style="28" customWidth="1"/>
    <col min="7689" max="7689" width="16.625" style="28" customWidth="1"/>
    <col min="7690" max="7690" width="18.75" style="28" customWidth="1"/>
    <col min="7691" max="7691" width="22.625" style="28" customWidth="1"/>
    <col min="7692" max="7692" width="17.5" style="28" customWidth="1"/>
    <col min="7693" max="7938" width="9" style="28"/>
    <col min="7939" max="7939" width="5.625" style="28" customWidth="1"/>
    <col min="7940" max="7940" width="10.625" style="28" customWidth="1"/>
    <col min="7941" max="7941" width="6.625" style="28" customWidth="1"/>
    <col min="7942" max="7942" width="6.75" style="28" customWidth="1"/>
    <col min="7943" max="7943" width="16.625" style="28" customWidth="1"/>
    <col min="7944" max="7944" width="6.75" style="28" customWidth="1"/>
    <col min="7945" max="7945" width="16.625" style="28" customWidth="1"/>
    <col min="7946" max="7946" width="18.75" style="28" customWidth="1"/>
    <col min="7947" max="7947" width="22.625" style="28" customWidth="1"/>
    <col min="7948" max="7948" width="17.5" style="28" customWidth="1"/>
    <col min="7949" max="8194" width="9" style="28"/>
    <col min="8195" max="8195" width="5.625" style="28" customWidth="1"/>
    <col min="8196" max="8196" width="10.625" style="28" customWidth="1"/>
    <col min="8197" max="8197" width="6.625" style="28" customWidth="1"/>
    <col min="8198" max="8198" width="6.75" style="28" customWidth="1"/>
    <col min="8199" max="8199" width="16.625" style="28" customWidth="1"/>
    <col min="8200" max="8200" width="6.75" style="28" customWidth="1"/>
    <col min="8201" max="8201" width="16.625" style="28" customWidth="1"/>
    <col min="8202" max="8202" width="18.75" style="28" customWidth="1"/>
    <col min="8203" max="8203" width="22.625" style="28" customWidth="1"/>
    <col min="8204" max="8204" width="17.5" style="28" customWidth="1"/>
    <col min="8205" max="8450" width="9" style="28"/>
    <col min="8451" max="8451" width="5.625" style="28" customWidth="1"/>
    <col min="8452" max="8452" width="10.625" style="28" customWidth="1"/>
    <col min="8453" max="8453" width="6.625" style="28" customWidth="1"/>
    <col min="8454" max="8454" width="6.75" style="28" customWidth="1"/>
    <col min="8455" max="8455" width="16.625" style="28" customWidth="1"/>
    <col min="8456" max="8456" width="6.75" style="28" customWidth="1"/>
    <col min="8457" max="8457" width="16.625" style="28" customWidth="1"/>
    <col min="8458" max="8458" width="18.75" style="28" customWidth="1"/>
    <col min="8459" max="8459" width="22.625" style="28" customWidth="1"/>
    <col min="8460" max="8460" width="17.5" style="28" customWidth="1"/>
    <col min="8461" max="8706" width="9" style="28"/>
    <col min="8707" max="8707" width="5.625" style="28" customWidth="1"/>
    <col min="8708" max="8708" width="10.625" style="28" customWidth="1"/>
    <col min="8709" max="8709" width="6.625" style="28" customWidth="1"/>
    <col min="8710" max="8710" width="6.75" style="28" customWidth="1"/>
    <col min="8711" max="8711" width="16.625" style="28" customWidth="1"/>
    <col min="8712" max="8712" width="6.75" style="28" customWidth="1"/>
    <col min="8713" max="8713" width="16.625" style="28" customWidth="1"/>
    <col min="8714" max="8714" width="18.75" style="28" customWidth="1"/>
    <col min="8715" max="8715" width="22.625" style="28" customWidth="1"/>
    <col min="8716" max="8716" width="17.5" style="28" customWidth="1"/>
    <col min="8717" max="8962" width="9" style="28"/>
    <col min="8963" max="8963" width="5.625" style="28" customWidth="1"/>
    <col min="8964" max="8964" width="10.625" style="28" customWidth="1"/>
    <col min="8965" max="8965" width="6.625" style="28" customWidth="1"/>
    <col min="8966" max="8966" width="6.75" style="28" customWidth="1"/>
    <col min="8967" max="8967" width="16.625" style="28" customWidth="1"/>
    <col min="8968" max="8968" width="6.75" style="28" customWidth="1"/>
    <col min="8969" max="8969" width="16.625" style="28" customWidth="1"/>
    <col min="8970" max="8970" width="18.75" style="28" customWidth="1"/>
    <col min="8971" max="8971" width="22.625" style="28" customWidth="1"/>
    <col min="8972" max="8972" width="17.5" style="28" customWidth="1"/>
    <col min="8973" max="9218" width="9" style="28"/>
    <col min="9219" max="9219" width="5.625" style="28" customWidth="1"/>
    <col min="9220" max="9220" width="10.625" style="28" customWidth="1"/>
    <col min="9221" max="9221" width="6.625" style="28" customWidth="1"/>
    <col min="9222" max="9222" width="6.75" style="28" customWidth="1"/>
    <col min="9223" max="9223" width="16.625" style="28" customWidth="1"/>
    <col min="9224" max="9224" width="6.75" style="28" customWidth="1"/>
    <col min="9225" max="9225" width="16.625" style="28" customWidth="1"/>
    <col min="9226" max="9226" width="18.75" style="28" customWidth="1"/>
    <col min="9227" max="9227" width="22.625" style="28" customWidth="1"/>
    <col min="9228" max="9228" width="17.5" style="28" customWidth="1"/>
    <col min="9229" max="9474" width="9" style="28"/>
    <col min="9475" max="9475" width="5.625" style="28" customWidth="1"/>
    <col min="9476" max="9476" width="10.625" style="28" customWidth="1"/>
    <col min="9477" max="9477" width="6.625" style="28" customWidth="1"/>
    <col min="9478" max="9478" width="6.75" style="28" customWidth="1"/>
    <col min="9479" max="9479" width="16.625" style="28" customWidth="1"/>
    <col min="9480" max="9480" width="6.75" style="28" customWidth="1"/>
    <col min="9481" max="9481" width="16.625" style="28" customWidth="1"/>
    <col min="9482" max="9482" width="18.75" style="28" customWidth="1"/>
    <col min="9483" max="9483" width="22.625" style="28" customWidth="1"/>
    <col min="9484" max="9484" width="17.5" style="28" customWidth="1"/>
    <col min="9485" max="9730" width="9" style="28"/>
    <col min="9731" max="9731" width="5.625" style="28" customWidth="1"/>
    <col min="9732" max="9732" width="10.625" style="28" customWidth="1"/>
    <col min="9733" max="9733" width="6.625" style="28" customWidth="1"/>
    <col min="9734" max="9734" width="6.75" style="28" customWidth="1"/>
    <col min="9735" max="9735" width="16.625" style="28" customWidth="1"/>
    <col min="9736" max="9736" width="6.75" style="28" customWidth="1"/>
    <col min="9737" max="9737" width="16.625" style="28" customWidth="1"/>
    <col min="9738" max="9738" width="18.75" style="28" customWidth="1"/>
    <col min="9739" max="9739" width="22.625" style="28" customWidth="1"/>
    <col min="9740" max="9740" width="17.5" style="28" customWidth="1"/>
    <col min="9741" max="9986" width="9" style="28"/>
    <col min="9987" max="9987" width="5.625" style="28" customWidth="1"/>
    <col min="9988" max="9988" width="10.625" style="28" customWidth="1"/>
    <col min="9989" max="9989" width="6.625" style="28" customWidth="1"/>
    <col min="9990" max="9990" width="6.75" style="28" customWidth="1"/>
    <col min="9991" max="9991" width="16.625" style="28" customWidth="1"/>
    <col min="9992" max="9992" width="6.75" style="28" customWidth="1"/>
    <col min="9993" max="9993" width="16.625" style="28" customWidth="1"/>
    <col min="9994" max="9994" width="18.75" style="28" customWidth="1"/>
    <col min="9995" max="9995" width="22.625" style="28" customWidth="1"/>
    <col min="9996" max="9996" width="17.5" style="28" customWidth="1"/>
    <col min="9997" max="10242" width="9" style="28"/>
    <col min="10243" max="10243" width="5.625" style="28" customWidth="1"/>
    <col min="10244" max="10244" width="10.625" style="28" customWidth="1"/>
    <col min="10245" max="10245" width="6.625" style="28" customWidth="1"/>
    <col min="10246" max="10246" width="6.75" style="28" customWidth="1"/>
    <col min="10247" max="10247" width="16.625" style="28" customWidth="1"/>
    <col min="10248" max="10248" width="6.75" style="28" customWidth="1"/>
    <col min="10249" max="10249" width="16.625" style="28" customWidth="1"/>
    <col min="10250" max="10250" width="18.75" style="28" customWidth="1"/>
    <col min="10251" max="10251" width="22.625" style="28" customWidth="1"/>
    <col min="10252" max="10252" width="17.5" style="28" customWidth="1"/>
    <col min="10253" max="10498" width="9" style="28"/>
    <col min="10499" max="10499" width="5.625" style="28" customWidth="1"/>
    <col min="10500" max="10500" width="10.625" style="28" customWidth="1"/>
    <col min="10501" max="10501" width="6.625" style="28" customWidth="1"/>
    <col min="10502" max="10502" width="6.75" style="28" customWidth="1"/>
    <col min="10503" max="10503" width="16.625" style="28" customWidth="1"/>
    <col min="10504" max="10504" width="6.75" style="28" customWidth="1"/>
    <col min="10505" max="10505" width="16.625" style="28" customWidth="1"/>
    <col min="10506" max="10506" width="18.75" style="28" customWidth="1"/>
    <col min="10507" max="10507" width="22.625" style="28" customWidth="1"/>
    <col min="10508" max="10508" width="17.5" style="28" customWidth="1"/>
    <col min="10509" max="10754" width="9" style="28"/>
    <col min="10755" max="10755" width="5.625" style="28" customWidth="1"/>
    <col min="10756" max="10756" width="10.625" style="28" customWidth="1"/>
    <col min="10757" max="10757" width="6.625" style="28" customWidth="1"/>
    <col min="10758" max="10758" width="6.75" style="28" customWidth="1"/>
    <col min="10759" max="10759" width="16.625" style="28" customWidth="1"/>
    <col min="10760" max="10760" width="6.75" style="28" customWidth="1"/>
    <col min="10761" max="10761" width="16.625" style="28" customWidth="1"/>
    <col min="10762" max="10762" width="18.75" style="28" customWidth="1"/>
    <col min="10763" max="10763" width="22.625" style="28" customWidth="1"/>
    <col min="10764" max="10764" width="17.5" style="28" customWidth="1"/>
    <col min="10765" max="11010" width="9" style="28"/>
    <col min="11011" max="11011" width="5.625" style="28" customWidth="1"/>
    <col min="11012" max="11012" width="10.625" style="28" customWidth="1"/>
    <col min="11013" max="11013" width="6.625" style="28" customWidth="1"/>
    <col min="11014" max="11014" width="6.75" style="28" customWidth="1"/>
    <col min="11015" max="11015" width="16.625" style="28" customWidth="1"/>
    <col min="11016" max="11016" width="6.75" style="28" customWidth="1"/>
    <col min="11017" max="11017" width="16.625" style="28" customWidth="1"/>
    <col min="11018" max="11018" width="18.75" style="28" customWidth="1"/>
    <col min="11019" max="11019" width="22.625" style="28" customWidth="1"/>
    <col min="11020" max="11020" width="17.5" style="28" customWidth="1"/>
    <col min="11021" max="11266" width="9" style="28"/>
    <col min="11267" max="11267" width="5.625" style="28" customWidth="1"/>
    <col min="11268" max="11268" width="10.625" style="28" customWidth="1"/>
    <col min="11269" max="11269" width="6.625" style="28" customWidth="1"/>
    <col min="11270" max="11270" width="6.75" style="28" customWidth="1"/>
    <col min="11271" max="11271" width="16.625" style="28" customWidth="1"/>
    <col min="11272" max="11272" width="6.75" style="28" customWidth="1"/>
    <col min="11273" max="11273" width="16.625" style="28" customWidth="1"/>
    <col min="11274" max="11274" width="18.75" style="28" customWidth="1"/>
    <col min="11275" max="11275" width="22.625" style="28" customWidth="1"/>
    <col min="11276" max="11276" width="17.5" style="28" customWidth="1"/>
    <col min="11277" max="11522" width="9" style="28"/>
    <col min="11523" max="11523" width="5.625" style="28" customWidth="1"/>
    <col min="11524" max="11524" width="10.625" style="28" customWidth="1"/>
    <col min="11525" max="11525" width="6.625" style="28" customWidth="1"/>
    <col min="11526" max="11526" width="6.75" style="28" customWidth="1"/>
    <col min="11527" max="11527" width="16.625" style="28" customWidth="1"/>
    <col min="11528" max="11528" width="6.75" style="28" customWidth="1"/>
    <col min="11529" max="11529" width="16.625" style="28" customWidth="1"/>
    <col min="11530" max="11530" width="18.75" style="28" customWidth="1"/>
    <col min="11531" max="11531" width="22.625" style="28" customWidth="1"/>
    <col min="11532" max="11532" width="17.5" style="28" customWidth="1"/>
    <col min="11533" max="11778" width="9" style="28"/>
    <col min="11779" max="11779" width="5.625" style="28" customWidth="1"/>
    <col min="11780" max="11780" width="10.625" style="28" customWidth="1"/>
    <col min="11781" max="11781" width="6.625" style="28" customWidth="1"/>
    <col min="11782" max="11782" width="6.75" style="28" customWidth="1"/>
    <col min="11783" max="11783" width="16.625" style="28" customWidth="1"/>
    <col min="11784" max="11784" width="6.75" style="28" customWidth="1"/>
    <col min="11785" max="11785" width="16.625" style="28" customWidth="1"/>
    <col min="11786" max="11786" width="18.75" style="28" customWidth="1"/>
    <col min="11787" max="11787" width="22.625" style="28" customWidth="1"/>
    <col min="11788" max="11788" width="17.5" style="28" customWidth="1"/>
    <col min="11789" max="12034" width="9" style="28"/>
    <col min="12035" max="12035" width="5.625" style="28" customWidth="1"/>
    <col min="12036" max="12036" width="10.625" style="28" customWidth="1"/>
    <col min="12037" max="12037" width="6.625" style="28" customWidth="1"/>
    <col min="12038" max="12038" width="6.75" style="28" customWidth="1"/>
    <col min="12039" max="12039" width="16.625" style="28" customWidth="1"/>
    <col min="12040" max="12040" width="6.75" style="28" customWidth="1"/>
    <col min="12041" max="12041" width="16.625" style="28" customWidth="1"/>
    <col min="12042" max="12042" width="18.75" style="28" customWidth="1"/>
    <col min="12043" max="12043" width="22.625" style="28" customWidth="1"/>
    <col min="12044" max="12044" width="17.5" style="28" customWidth="1"/>
    <col min="12045" max="12290" width="9" style="28"/>
    <col min="12291" max="12291" width="5.625" style="28" customWidth="1"/>
    <col min="12292" max="12292" width="10.625" style="28" customWidth="1"/>
    <col min="12293" max="12293" width="6.625" style="28" customWidth="1"/>
    <col min="12294" max="12294" width="6.75" style="28" customWidth="1"/>
    <col min="12295" max="12295" width="16.625" style="28" customWidth="1"/>
    <col min="12296" max="12296" width="6.75" style="28" customWidth="1"/>
    <col min="12297" max="12297" width="16.625" style="28" customWidth="1"/>
    <col min="12298" max="12298" width="18.75" style="28" customWidth="1"/>
    <col min="12299" max="12299" width="22.625" style="28" customWidth="1"/>
    <col min="12300" max="12300" width="17.5" style="28" customWidth="1"/>
    <col min="12301" max="12546" width="9" style="28"/>
    <col min="12547" max="12547" width="5.625" style="28" customWidth="1"/>
    <col min="12548" max="12548" width="10.625" style="28" customWidth="1"/>
    <col min="12549" max="12549" width="6.625" style="28" customWidth="1"/>
    <col min="12550" max="12550" width="6.75" style="28" customWidth="1"/>
    <col min="12551" max="12551" width="16.625" style="28" customWidth="1"/>
    <col min="12552" max="12552" width="6.75" style="28" customWidth="1"/>
    <col min="12553" max="12553" width="16.625" style="28" customWidth="1"/>
    <col min="12554" max="12554" width="18.75" style="28" customWidth="1"/>
    <col min="12555" max="12555" width="22.625" style="28" customWidth="1"/>
    <col min="12556" max="12556" width="17.5" style="28" customWidth="1"/>
    <col min="12557" max="12802" width="9" style="28"/>
    <col min="12803" max="12803" width="5.625" style="28" customWidth="1"/>
    <col min="12804" max="12804" width="10.625" style="28" customWidth="1"/>
    <col min="12805" max="12805" width="6.625" style="28" customWidth="1"/>
    <col min="12806" max="12806" width="6.75" style="28" customWidth="1"/>
    <col min="12807" max="12807" width="16.625" style="28" customWidth="1"/>
    <col min="12808" max="12808" width="6.75" style="28" customWidth="1"/>
    <col min="12809" max="12809" width="16.625" style="28" customWidth="1"/>
    <col min="12810" max="12810" width="18.75" style="28" customWidth="1"/>
    <col min="12811" max="12811" width="22.625" style="28" customWidth="1"/>
    <col min="12812" max="12812" width="17.5" style="28" customWidth="1"/>
    <col min="12813" max="13058" width="9" style="28"/>
    <col min="13059" max="13059" width="5.625" style="28" customWidth="1"/>
    <col min="13060" max="13060" width="10.625" style="28" customWidth="1"/>
    <col min="13061" max="13061" width="6.625" style="28" customWidth="1"/>
    <col min="13062" max="13062" width="6.75" style="28" customWidth="1"/>
    <col min="13063" max="13063" width="16.625" style="28" customWidth="1"/>
    <col min="13064" max="13064" width="6.75" style="28" customWidth="1"/>
    <col min="13065" max="13065" width="16.625" style="28" customWidth="1"/>
    <col min="13066" max="13066" width="18.75" style="28" customWidth="1"/>
    <col min="13067" max="13067" width="22.625" style="28" customWidth="1"/>
    <col min="13068" max="13068" width="17.5" style="28" customWidth="1"/>
    <col min="13069" max="13314" width="9" style="28"/>
    <col min="13315" max="13315" width="5.625" style="28" customWidth="1"/>
    <col min="13316" max="13316" width="10.625" style="28" customWidth="1"/>
    <col min="13317" max="13317" width="6.625" style="28" customWidth="1"/>
    <col min="13318" max="13318" width="6.75" style="28" customWidth="1"/>
    <col min="13319" max="13319" width="16.625" style="28" customWidth="1"/>
    <col min="13320" max="13320" width="6.75" style="28" customWidth="1"/>
    <col min="13321" max="13321" width="16.625" style="28" customWidth="1"/>
    <col min="13322" max="13322" width="18.75" style="28" customWidth="1"/>
    <col min="13323" max="13323" width="22.625" style="28" customWidth="1"/>
    <col min="13324" max="13324" width="17.5" style="28" customWidth="1"/>
    <col min="13325" max="13570" width="9" style="28"/>
    <col min="13571" max="13571" width="5.625" style="28" customWidth="1"/>
    <col min="13572" max="13572" width="10.625" style="28" customWidth="1"/>
    <col min="13573" max="13573" width="6.625" style="28" customWidth="1"/>
    <col min="13574" max="13574" width="6.75" style="28" customWidth="1"/>
    <col min="13575" max="13575" width="16.625" style="28" customWidth="1"/>
    <col min="13576" max="13576" width="6.75" style="28" customWidth="1"/>
    <col min="13577" max="13577" width="16.625" style="28" customWidth="1"/>
    <col min="13578" max="13578" width="18.75" style="28" customWidth="1"/>
    <col min="13579" max="13579" width="22.625" style="28" customWidth="1"/>
    <col min="13580" max="13580" width="17.5" style="28" customWidth="1"/>
    <col min="13581" max="13826" width="9" style="28"/>
    <col min="13827" max="13827" width="5.625" style="28" customWidth="1"/>
    <col min="13828" max="13828" width="10.625" style="28" customWidth="1"/>
    <col min="13829" max="13829" width="6.625" style="28" customWidth="1"/>
    <col min="13830" max="13830" width="6.75" style="28" customWidth="1"/>
    <col min="13831" max="13831" width="16.625" style="28" customWidth="1"/>
    <col min="13832" max="13832" width="6.75" style="28" customWidth="1"/>
    <col min="13833" max="13833" width="16.625" style="28" customWidth="1"/>
    <col min="13834" max="13834" width="18.75" style="28" customWidth="1"/>
    <col min="13835" max="13835" width="22.625" style="28" customWidth="1"/>
    <col min="13836" max="13836" width="17.5" style="28" customWidth="1"/>
    <col min="13837" max="14082" width="9" style="28"/>
    <col min="14083" max="14083" width="5.625" style="28" customWidth="1"/>
    <col min="14084" max="14084" width="10.625" style="28" customWidth="1"/>
    <col min="14085" max="14085" width="6.625" style="28" customWidth="1"/>
    <col min="14086" max="14086" width="6.75" style="28" customWidth="1"/>
    <col min="14087" max="14087" width="16.625" style="28" customWidth="1"/>
    <col min="14088" max="14088" width="6.75" style="28" customWidth="1"/>
    <col min="14089" max="14089" width="16.625" style="28" customWidth="1"/>
    <col min="14090" max="14090" width="18.75" style="28" customWidth="1"/>
    <col min="14091" max="14091" width="22.625" style="28" customWidth="1"/>
    <col min="14092" max="14092" width="17.5" style="28" customWidth="1"/>
    <col min="14093" max="14338" width="9" style="28"/>
    <col min="14339" max="14339" width="5.625" style="28" customWidth="1"/>
    <col min="14340" max="14340" width="10.625" style="28" customWidth="1"/>
    <col min="14341" max="14341" width="6.625" style="28" customWidth="1"/>
    <col min="14342" max="14342" width="6.75" style="28" customWidth="1"/>
    <col min="14343" max="14343" width="16.625" style="28" customWidth="1"/>
    <col min="14344" max="14344" width="6.75" style="28" customWidth="1"/>
    <col min="14345" max="14345" width="16.625" style="28" customWidth="1"/>
    <col min="14346" max="14346" width="18.75" style="28" customWidth="1"/>
    <col min="14347" max="14347" width="22.625" style="28" customWidth="1"/>
    <col min="14348" max="14348" width="17.5" style="28" customWidth="1"/>
    <col min="14349" max="14594" width="9" style="28"/>
    <col min="14595" max="14595" width="5.625" style="28" customWidth="1"/>
    <col min="14596" max="14596" width="10.625" style="28" customWidth="1"/>
    <col min="14597" max="14597" width="6.625" style="28" customWidth="1"/>
    <col min="14598" max="14598" width="6.75" style="28" customWidth="1"/>
    <col min="14599" max="14599" width="16.625" style="28" customWidth="1"/>
    <col min="14600" max="14600" width="6.75" style="28" customWidth="1"/>
    <col min="14601" max="14601" width="16.625" style="28" customWidth="1"/>
    <col min="14602" max="14602" width="18.75" style="28" customWidth="1"/>
    <col min="14603" max="14603" width="22.625" style="28" customWidth="1"/>
    <col min="14604" max="14604" width="17.5" style="28" customWidth="1"/>
    <col min="14605" max="14850" width="9" style="28"/>
    <col min="14851" max="14851" width="5.625" style="28" customWidth="1"/>
    <col min="14852" max="14852" width="10.625" style="28" customWidth="1"/>
    <col min="14853" max="14853" width="6.625" style="28" customWidth="1"/>
    <col min="14854" max="14854" width="6.75" style="28" customWidth="1"/>
    <col min="14855" max="14855" width="16.625" style="28" customWidth="1"/>
    <col min="14856" max="14856" width="6.75" style="28" customWidth="1"/>
    <col min="14857" max="14857" width="16.625" style="28" customWidth="1"/>
    <col min="14858" max="14858" width="18.75" style="28" customWidth="1"/>
    <col min="14859" max="14859" width="22.625" style="28" customWidth="1"/>
    <col min="14860" max="14860" width="17.5" style="28" customWidth="1"/>
    <col min="14861" max="15106" width="9" style="28"/>
    <col min="15107" max="15107" width="5.625" style="28" customWidth="1"/>
    <col min="15108" max="15108" width="10.625" style="28" customWidth="1"/>
    <col min="15109" max="15109" width="6.625" style="28" customWidth="1"/>
    <col min="15110" max="15110" width="6.75" style="28" customWidth="1"/>
    <col min="15111" max="15111" width="16.625" style="28" customWidth="1"/>
    <col min="15112" max="15112" width="6.75" style="28" customWidth="1"/>
    <col min="15113" max="15113" width="16.625" style="28" customWidth="1"/>
    <col min="15114" max="15114" width="18.75" style="28" customWidth="1"/>
    <col min="15115" max="15115" width="22.625" style="28" customWidth="1"/>
    <col min="15116" max="15116" width="17.5" style="28" customWidth="1"/>
    <col min="15117" max="15362" width="9" style="28"/>
    <col min="15363" max="15363" width="5.625" style="28" customWidth="1"/>
    <col min="15364" max="15364" width="10.625" style="28" customWidth="1"/>
    <col min="15365" max="15365" width="6.625" style="28" customWidth="1"/>
    <col min="15366" max="15366" width="6.75" style="28" customWidth="1"/>
    <col min="15367" max="15367" width="16.625" style="28" customWidth="1"/>
    <col min="15368" max="15368" width="6.75" style="28" customWidth="1"/>
    <col min="15369" max="15369" width="16.625" style="28" customWidth="1"/>
    <col min="15370" max="15370" width="18.75" style="28" customWidth="1"/>
    <col min="15371" max="15371" width="22.625" style="28" customWidth="1"/>
    <col min="15372" max="15372" width="17.5" style="28" customWidth="1"/>
    <col min="15373" max="15618" width="9" style="28"/>
    <col min="15619" max="15619" width="5.625" style="28" customWidth="1"/>
    <col min="15620" max="15620" width="10.625" style="28" customWidth="1"/>
    <col min="15621" max="15621" width="6.625" style="28" customWidth="1"/>
    <col min="15622" max="15622" width="6.75" style="28" customWidth="1"/>
    <col min="15623" max="15623" width="16.625" style="28" customWidth="1"/>
    <col min="15624" max="15624" width="6.75" style="28" customWidth="1"/>
    <col min="15625" max="15625" width="16.625" style="28" customWidth="1"/>
    <col min="15626" max="15626" width="18.75" style="28" customWidth="1"/>
    <col min="15627" max="15627" width="22.625" style="28" customWidth="1"/>
    <col min="15628" max="15628" width="17.5" style="28" customWidth="1"/>
    <col min="15629" max="15874" width="9" style="28"/>
    <col min="15875" max="15875" width="5.625" style="28" customWidth="1"/>
    <col min="15876" max="15876" width="10.625" style="28" customWidth="1"/>
    <col min="15877" max="15877" width="6.625" style="28" customWidth="1"/>
    <col min="15878" max="15878" width="6.75" style="28" customWidth="1"/>
    <col min="15879" max="15879" width="16.625" style="28" customWidth="1"/>
    <col min="15880" max="15880" width="6.75" style="28" customWidth="1"/>
    <col min="15881" max="15881" width="16.625" style="28" customWidth="1"/>
    <col min="15882" max="15882" width="18.75" style="28" customWidth="1"/>
    <col min="15883" max="15883" width="22.625" style="28" customWidth="1"/>
    <col min="15884" max="15884" width="17.5" style="28" customWidth="1"/>
    <col min="15885" max="16130" width="9" style="28"/>
    <col min="16131" max="16131" width="5.625" style="28" customWidth="1"/>
    <col min="16132" max="16132" width="10.625" style="28" customWidth="1"/>
    <col min="16133" max="16133" width="6.625" style="28" customWidth="1"/>
    <col min="16134" max="16134" width="6.75" style="28" customWidth="1"/>
    <col min="16135" max="16135" width="16.625" style="28" customWidth="1"/>
    <col min="16136" max="16136" width="6.75" style="28" customWidth="1"/>
    <col min="16137" max="16137" width="16.625" style="28" customWidth="1"/>
    <col min="16138" max="16138" width="18.75" style="28" customWidth="1"/>
    <col min="16139" max="16139" width="22.625" style="28" customWidth="1"/>
    <col min="16140" max="16140" width="17.5" style="28" customWidth="1"/>
    <col min="16141" max="16384" width="9" style="28"/>
  </cols>
  <sheetData>
    <row r="1" spans="2:11" ht="45" customHeight="1" x14ac:dyDescent="0.3">
      <c r="B1" s="50" t="s">
        <v>802</v>
      </c>
      <c r="C1" s="50"/>
      <c r="D1" s="50"/>
      <c r="E1" s="50"/>
      <c r="F1" s="50"/>
      <c r="G1" s="50"/>
      <c r="H1" s="50"/>
      <c r="I1" s="50"/>
      <c r="J1" s="50"/>
      <c r="K1" s="50"/>
    </row>
    <row r="2" spans="2:11" ht="11.25" customHeight="1" thickBot="1" x14ac:dyDescent="0.35"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2:11" ht="52.5" customHeight="1" thickBot="1" x14ac:dyDescent="0.35">
      <c r="B3" s="30" t="s">
        <v>803</v>
      </c>
      <c r="C3" s="51"/>
      <c r="D3" s="52"/>
      <c r="E3" s="30" t="s">
        <v>804</v>
      </c>
      <c r="F3" s="53"/>
      <c r="G3" s="54"/>
      <c r="H3" s="51" t="s">
        <v>805</v>
      </c>
      <c r="I3" s="55"/>
      <c r="J3" s="55"/>
      <c r="K3" s="56"/>
    </row>
    <row r="4" spans="2:11" ht="33" customHeight="1" x14ac:dyDescent="0.15">
      <c r="B4" s="31"/>
      <c r="C4" s="32"/>
      <c r="D4" s="32"/>
      <c r="E4" s="32"/>
      <c r="F4" s="32"/>
      <c r="G4" s="32"/>
      <c r="H4" s="33"/>
      <c r="I4" s="32"/>
      <c r="J4" s="34"/>
      <c r="K4" s="35"/>
    </row>
    <row r="5" spans="2:11" ht="35.25" customHeight="1" x14ac:dyDescent="0.3">
      <c r="B5" s="36"/>
      <c r="C5" s="37"/>
      <c r="D5" s="57" t="s">
        <v>806</v>
      </c>
      <c r="E5" s="57"/>
      <c r="F5" s="37"/>
      <c r="G5" s="37"/>
      <c r="H5" s="37"/>
      <c r="I5" s="37"/>
      <c r="J5" s="37"/>
      <c r="K5" s="38"/>
    </row>
    <row r="6" spans="2:11" ht="81.75" customHeight="1" x14ac:dyDescent="0.3">
      <c r="B6" s="39"/>
      <c r="C6" s="34"/>
      <c r="D6" s="34"/>
      <c r="E6" s="34"/>
      <c r="F6" s="34"/>
      <c r="G6" s="40"/>
      <c r="H6" s="40"/>
      <c r="I6" s="40"/>
      <c r="J6" s="34"/>
      <c r="K6" s="38"/>
    </row>
    <row r="7" spans="2:11" ht="22.5" customHeight="1" thickBot="1" x14ac:dyDescent="0.35">
      <c r="B7" s="39"/>
      <c r="C7" s="34"/>
      <c r="D7" s="58" t="s">
        <v>807</v>
      </c>
      <c r="E7" s="58"/>
      <c r="F7" s="59" t="s">
        <v>808</v>
      </c>
      <c r="G7" s="59"/>
      <c r="H7" s="59"/>
      <c r="I7" s="59"/>
      <c r="J7" s="59"/>
      <c r="K7" s="38"/>
    </row>
    <row r="8" spans="2:11" ht="45" customHeight="1" thickTop="1" x14ac:dyDescent="0.3">
      <c r="B8" s="31"/>
      <c r="C8" s="34"/>
      <c r="D8" s="41"/>
      <c r="E8" s="42"/>
      <c r="F8" s="42"/>
      <c r="G8" s="43"/>
      <c r="H8" s="44"/>
      <c r="I8" s="41"/>
      <c r="J8" s="41"/>
      <c r="K8" s="35"/>
    </row>
    <row r="9" spans="2:11" ht="22.5" customHeight="1" x14ac:dyDescent="0.3">
      <c r="B9" s="31"/>
      <c r="C9" s="34"/>
      <c r="D9" s="48" t="s">
        <v>809</v>
      </c>
      <c r="E9" s="48"/>
      <c r="F9" s="49" t="str">
        <f>" 금"&amp;TEXT(원가계산서!E30, "#,###원")&amp;" (금"&amp;NUMBERSTRING(원가계산서!E30, 1)&amp;"원)"</f>
        <v xml:space="preserve"> 금원 (금영원)</v>
      </c>
      <c r="G9" s="49"/>
      <c r="H9" s="49"/>
      <c r="I9" s="49"/>
      <c r="J9" s="49"/>
      <c r="K9" s="35"/>
    </row>
    <row r="10" spans="2:11" ht="138.75" customHeight="1" thickBot="1" x14ac:dyDescent="0.35">
      <c r="B10" s="45"/>
      <c r="C10" s="46"/>
      <c r="D10" s="46"/>
      <c r="E10" s="46"/>
      <c r="F10" s="46"/>
      <c r="G10" s="46"/>
      <c r="H10" s="46"/>
      <c r="I10" s="46"/>
      <c r="J10" s="46"/>
      <c r="K10" s="47"/>
    </row>
  </sheetData>
  <mergeCells count="9">
    <mergeCell ref="D9:E9"/>
    <mergeCell ref="F9:J9"/>
    <mergeCell ref="B1:K1"/>
    <mergeCell ref="C3:D3"/>
    <mergeCell ref="F3:G3"/>
    <mergeCell ref="H3:K3"/>
    <mergeCell ref="D5:E5"/>
    <mergeCell ref="D7:E7"/>
    <mergeCell ref="F7:J7"/>
  </mergeCells>
  <phoneticPr fontId="15" type="noConversion"/>
  <printOptions horizontalCentered="1"/>
  <pageMargins left="0.25" right="0.25" top="0.75" bottom="0.75" header="0.3" footer="0.3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P17"/>
  <sheetViews>
    <sheetView view="pageBreakPreview" topLeftCell="A3" zoomScaleNormal="100" zoomScaleSheetLayoutView="100" workbookViewId="0">
      <selection activeCell="I36" sqref="I36"/>
    </sheetView>
  </sheetViews>
  <sheetFormatPr defaultColWidth="9.125" defaultRowHeight="16.5" x14ac:dyDescent="0.3"/>
  <cols>
    <col min="1" max="1" width="1.25" customWidth="1"/>
    <col min="2" max="2" width="11.25" customWidth="1"/>
    <col min="3" max="4" width="12.5" customWidth="1"/>
    <col min="5" max="5" width="11.25" customWidth="1"/>
    <col min="6" max="7" width="12.5" customWidth="1"/>
    <col min="8" max="8" width="11.25" customWidth="1"/>
    <col min="9" max="10" width="12.5" customWidth="1"/>
    <col min="11" max="11" width="11.25" customWidth="1"/>
    <col min="12" max="17" width="12.5" customWidth="1"/>
  </cols>
  <sheetData>
    <row r="1" spans="1:16" ht="90" customHeight="1" thickBot="1" x14ac:dyDescent="0.9">
      <c r="B1" s="60" t="s">
        <v>790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</row>
    <row r="2" spans="1:16" ht="52.5" customHeight="1" thickBot="1" x14ac:dyDescent="0.35">
      <c r="A2" s="61" t="s">
        <v>646</v>
      </c>
      <c r="B2" s="62" t="s">
        <v>404</v>
      </c>
      <c r="C2" s="63" t="s">
        <v>646</v>
      </c>
      <c r="D2" s="64"/>
      <c r="E2" s="62" t="s">
        <v>325</v>
      </c>
      <c r="F2" s="63" t="s">
        <v>646</v>
      </c>
      <c r="G2" s="64"/>
      <c r="H2" s="62" t="s">
        <v>753</v>
      </c>
      <c r="I2" s="63" t="s">
        <v>646</v>
      </c>
      <c r="J2" s="64"/>
      <c r="K2" s="62" t="s">
        <v>412</v>
      </c>
      <c r="L2" s="63" t="s">
        <v>646</v>
      </c>
      <c r="M2" s="64"/>
      <c r="N2" s="63" t="s">
        <v>428</v>
      </c>
      <c r="O2" s="65"/>
      <c r="P2" s="64"/>
    </row>
    <row r="3" spans="1:16" ht="37.5" customHeight="1" x14ac:dyDescent="0.3">
      <c r="B3" s="66" t="s">
        <v>646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8"/>
    </row>
    <row r="4" spans="1:16" ht="37.5" customHeight="1" x14ac:dyDescent="0.3">
      <c r="B4" s="69" t="s">
        <v>646</v>
      </c>
      <c r="C4" s="70" t="s">
        <v>120</v>
      </c>
      <c r="D4" s="70"/>
      <c r="E4" s="70" t="s">
        <v>646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61"/>
    </row>
    <row r="5" spans="1:16" ht="15" customHeight="1" x14ac:dyDescent="0.3">
      <c r="B5" s="71" t="s">
        <v>646</v>
      </c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3"/>
    </row>
    <row r="6" spans="1:16" ht="52.5" customHeight="1" x14ac:dyDescent="0.3">
      <c r="B6" s="71" t="s">
        <v>646</v>
      </c>
      <c r="C6" s="74" t="s">
        <v>574</v>
      </c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3" t="s">
        <v>646</v>
      </c>
    </row>
    <row r="7" spans="1:16" ht="56.25" customHeight="1" x14ac:dyDescent="0.3">
      <c r="B7" s="71" t="s">
        <v>646</v>
      </c>
      <c r="C7" s="75" t="s">
        <v>646</v>
      </c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3" t="s">
        <v>646</v>
      </c>
    </row>
    <row r="8" spans="1:16" ht="52.5" customHeight="1" x14ac:dyDescent="0.3">
      <c r="B8" s="71" t="s">
        <v>646</v>
      </c>
      <c r="C8" s="76" t="s">
        <v>687</v>
      </c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3" t="s">
        <v>646</v>
      </c>
    </row>
    <row r="9" spans="1:16" ht="37.5" customHeight="1" x14ac:dyDescent="0.3">
      <c r="B9" s="71" t="s">
        <v>646</v>
      </c>
      <c r="C9" s="75" t="s">
        <v>646</v>
      </c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3" t="s">
        <v>646</v>
      </c>
    </row>
    <row r="10" spans="1:16" ht="52.5" customHeight="1" x14ac:dyDescent="0.3">
      <c r="B10" s="71" t="s">
        <v>646</v>
      </c>
      <c r="C10" s="88" t="s">
        <v>624</v>
      </c>
      <c r="D10" s="88"/>
      <c r="E10" s="89" t="str">
        <f>" 일금 "&amp;NUMBERSTRING(G15, 1)&amp;"원정 ("&amp;TEXT(G15, "#,###원")&amp;")"</f>
        <v xml:space="preserve"> 일금 영원정 (원)</v>
      </c>
      <c r="F10" s="89"/>
      <c r="G10" s="89"/>
      <c r="H10" s="89"/>
      <c r="I10" s="89"/>
      <c r="J10" s="89"/>
      <c r="K10" s="89"/>
      <c r="L10" s="89"/>
      <c r="M10" s="89"/>
      <c r="N10" s="89"/>
      <c r="O10" s="72" t="s">
        <v>646</v>
      </c>
      <c r="P10" s="73"/>
    </row>
    <row r="11" spans="1:16" ht="37.5" customHeight="1" x14ac:dyDescent="0.3">
      <c r="B11" s="71" t="s">
        <v>646</v>
      </c>
      <c r="C11" s="75" t="s">
        <v>646</v>
      </c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2"/>
      <c r="P11" s="73" t="s">
        <v>646</v>
      </c>
    </row>
    <row r="12" spans="1:16" ht="33.75" customHeight="1" x14ac:dyDescent="0.3">
      <c r="B12" s="71" t="s">
        <v>646</v>
      </c>
      <c r="D12" s="82" t="s">
        <v>621</v>
      </c>
      <c r="E12" s="77" t="s">
        <v>290</v>
      </c>
      <c r="F12" s="78"/>
      <c r="G12" s="79">
        <f>원가계산서!E26</f>
        <v>0</v>
      </c>
      <c r="H12" s="80"/>
      <c r="I12" s="80"/>
      <c r="J12" s="77" t="s">
        <v>646</v>
      </c>
      <c r="K12" s="81"/>
      <c r="L12" s="81"/>
      <c r="M12" s="81"/>
      <c r="N12" s="78"/>
      <c r="P12" s="73" t="s">
        <v>646</v>
      </c>
    </row>
    <row r="13" spans="1:16" ht="33.75" customHeight="1" x14ac:dyDescent="0.3">
      <c r="B13" s="71" t="s">
        <v>646</v>
      </c>
      <c r="D13" s="83"/>
      <c r="E13" s="77" t="s">
        <v>387</v>
      </c>
      <c r="F13" s="78"/>
      <c r="G13" s="79">
        <f>원가계산서!E27</f>
        <v>0</v>
      </c>
      <c r="H13" s="80"/>
      <c r="I13" s="80"/>
      <c r="J13" s="77" t="s">
        <v>646</v>
      </c>
      <c r="K13" s="81"/>
      <c r="L13" s="81"/>
      <c r="M13" s="81"/>
      <c r="N13" s="78"/>
      <c r="P13" s="73" t="s">
        <v>646</v>
      </c>
    </row>
    <row r="14" spans="1:16" ht="33.75" customHeight="1" x14ac:dyDescent="0.3">
      <c r="B14" s="71" t="s">
        <v>646</v>
      </c>
      <c r="D14" s="84"/>
      <c r="E14" s="77" t="s">
        <v>654</v>
      </c>
      <c r="F14" s="78"/>
      <c r="G14" s="79">
        <f>원가계산서!E28</f>
        <v>0</v>
      </c>
      <c r="H14" s="80"/>
      <c r="I14" s="80"/>
      <c r="J14" s="77" t="s">
        <v>646</v>
      </c>
      <c r="K14" s="81"/>
      <c r="L14" s="81"/>
      <c r="M14" s="81"/>
      <c r="N14" s="78"/>
      <c r="P14" s="73" t="s">
        <v>646</v>
      </c>
    </row>
    <row r="15" spans="1:16" ht="33.75" customHeight="1" x14ac:dyDescent="0.3">
      <c r="B15" s="71" t="s">
        <v>646</v>
      </c>
      <c r="D15" s="90" t="s">
        <v>150</v>
      </c>
      <c r="E15" s="91"/>
      <c r="F15" s="92"/>
      <c r="G15" s="79">
        <f>TRUNC(G14, -4)</f>
        <v>0</v>
      </c>
      <c r="H15" s="80"/>
      <c r="I15" s="80"/>
      <c r="J15" s="93" t="s">
        <v>796</v>
      </c>
      <c r="K15" s="94"/>
      <c r="L15" s="94"/>
      <c r="M15" s="94"/>
      <c r="N15" s="95"/>
      <c r="P15" s="73" t="s">
        <v>646</v>
      </c>
    </row>
    <row r="16" spans="1:16" ht="0.75" customHeight="1" x14ac:dyDescent="0.3">
      <c r="B16" s="71" t="s">
        <v>646</v>
      </c>
      <c r="C16" s="72"/>
      <c r="D16" s="75" t="s">
        <v>646</v>
      </c>
      <c r="E16" s="75"/>
      <c r="F16" s="75"/>
      <c r="G16" s="75"/>
      <c r="H16" s="75"/>
      <c r="I16" s="75"/>
      <c r="J16" s="75"/>
      <c r="K16" s="75"/>
      <c r="L16" s="75"/>
      <c r="M16" s="75"/>
      <c r="N16" s="75"/>
      <c r="P16" s="73" t="s">
        <v>646</v>
      </c>
    </row>
    <row r="17" spans="2:16" ht="33.75" customHeight="1" thickBot="1" x14ac:dyDescent="0.35">
      <c r="B17" s="85" t="s">
        <v>646</v>
      </c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7"/>
    </row>
  </sheetData>
  <mergeCells count="60">
    <mergeCell ref="B17:P17"/>
    <mergeCell ref="B10"/>
    <mergeCell ref="C10:D10"/>
    <mergeCell ref="E10:N10"/>
    <mergeCell ref="O10:P10"/>
    <mergeCell ref="B16:C16"/>
    <mergeCell ref="D16:N16"/>
    <mergeCell ref="P16"/>
    <mergeCell ref="B15"/>
    <mergeCell ref="D15:F15"/>
    <mergeCell ref="G15:I15"/>
    <mergeCell ref="J15:N15"/>
    <mergeCell ref="P15"/>
    <mergeCell ref="B14"/>
    <mergeCell ref="E14:F14"/>
    <mergeCell ref="G14:I14"/>
    <mergeCell ref="J14:N14"/>
    <mergeCell ref="P14"/>
    <mergeCell ref="D12:D14"/>
    <mergeCell ref="B13"/>
    <mergeCell ref="E13:F13"/>
    <mergeCell ref="G13:I13"/>
    <mergeCell ref="J13:N13"/>
    <mergeCell ref="P13"/>
    <mergeCell ref="B11"/>
    <mergeCell ref="C11:O11"/>
    <mergeCell ref="P11"/>
    <mergeCell ref="B12"/>
    <mergeCell ref="E12:F12"/>
    <mergeCell ref="G12:I12"/>
    <mergeCell ref="J12:N12"/>
    <mergeCell ref="P12"/>
    <mergeCell ref="B8"/>
    <mergeCell ref="C8:O8"/>
    <mergeCell ref="P8"/>
    <mergeCell ref="B9"/>
    <mergeCell ref="C9:O9"/>
    <mergeCell ref="P9"/>
    <mergeCell ref="B6"/>
    <mergeCell ref="C6:O6"/>
    <mergeCell ref="P6"/>
    <mergeCell ref="B7"/>
    <mergeCell ref="C7:O7"/>
    <mergeCell ref="P7"/>
    <mergeCell ref="B3:P3"/>
    <mergeCell ref="B4"/>
    <mergeCell ref="C4:D4"/>
    <mergeCell ref="E4:P4"/>
    <mergeCell ref="B5:P5"/>
    <mergeCell ref="B1:P1"/>
    <mergeCell ref="A2"/>
    <mergeCell ref="B2"/>
    <mergeCell ref="C2:D2"/>
    <mergeCell ref="E2"/>
    <mergeCell ref="F2:G2"/>
    <mergeCell ref="H2"/>
    <mergeCell ref="I2:J2"/>
    <mergeCell ref="K2"/>
    <mergeCell ref="L2:M2"/>
    <mergeCell ref="N2:P2"/>
  </mergeCells>
  <phoneticPr fontId="15" type="noConversion"/>
  <pageMargins left="0.78740157480314954" right="0" top="0.39370078740157477" bottom="0.37735849056603776" header="0" footer="0"/>
  <pageSetup paperSize="9" scale="7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  <pageSetUpPr fitToPage="1"/>
  </sheetPr>
  <dimension ref="A1:O31"/>
  <sheetViews>
    <sheetView tabSelected="1" view="pageBreakPreview" topLeftCell="B1" zoomScale="85" zoomScaleNormal="100" zoomScaleSheetLayoutView="85" workbookViewId="0">
      <selection sqref="A1:G1"/>
    </sheetView>
  </sheetViews>
  <sheetFormatPr defaultColWidth="9.125" defaultRowHeight="16.5" x14ac:dyDescent="0.3"/>
  <cols>
    <col min="1" max="1" width="9.125" hidden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  <col min="8" max="15" width="9.125" hidden="1"/>
  </cols>
  <sheetData>
    <row r="1" spans="1:15" ht="24" customHeight="1" x14ac:dyDescent="0.3">
      <c r="A1" s="96" t="s">
        <v>106</v>
      </c>
      <c r="B1" s="96"/>
      <c r="C1" s="96"/>
      <c r="D1" s="96"/>
      <c r="E1" s="96"/>
      <c r="F1" s="96"/>
      <c r="G1" s="96"/>
    </row>
    <row r="2" spans="1:15" ht="21.95" customHeight="1" x14ac:dyDescent="0.3">
      <c r="A2" s="97" t="str">
        <f>"[" &amp; 설계서용지!F7 &amp; "]"</f>
        <v>[공용 스마트 교육공간 인프라 구축 건축공사]</v>
      </c>
      <c r="B2" s="97"/>
      <c r="C2" s="97"/>
      <c r="D2" s="97"/>
      <c r="E2" s="97"/>
      <c r="F2" s="104" t="str">
        <f>"금액: 일금  "&amp;NUMBERSTRING(E30,1)&amp;"원정("&amp;TEXT(E30,"#,###원")&amp;")"</f>
        <v>금액: 일금  영원정(원)</v>
      </c>
      <c r="G2" s="104"/>
    </row>
    <row r="3" spans="1:15" ht="21.95" customHeight="1" x14ac:dyDescent="0.3">
      <c r="A3" s="18" t="s">
        <v>646</v>
      </c>
      <c r="B3" s="98" t="s">
        <v>217</v>
      </c>
      <c r="C3" s="99"/>
      <c r="D3" s="100"/>
      <c r="E3" s="18" t="s">
        <v>484</v>
      </c>
      <c r="F3" s="18" t="s">
        <v>87</v>
      </c>
      <c r="G3" s="18" t="s">
        <v>562</v>
      </c>
      <c r="H3" s="18" t="s">
        <v>72</v>
      </c>
      <c r="I3" s="18" t="s">
        <v>335</v>
      </c>
    </row>
    <row r="4" spans="1:15" ht="21.95" customHeight="1" x14ac:dyDescent="0.3">
      <c r="A4" s="21" t="s">
        <v>735</v>
      </c>
      <c r="B4" s="101" t="s">
        <v>527</v>
      </c>
      <c r="C4" s="101" t="s">
        <v>181</v>
      </c>
      <c r="D4" s="19" t="s">
        <v>151</v>
      </c>
      <c r="E4" s="4">
        <f>TRUNC(공종별집계표!F5, 0)</f>
        <v>0</v>
      </c>
      <c r="F4" s="21"/>
      <c r="G4" s="21"/>
      <c r="H4" s="24">
        <v>100</v>
      </c>
      <c r="I4" s="21" t="s">
        <v>151</v>
      </c>
      <c r="J4" s="21" t="s">
        <v>535</v>
      </c>
      <c r="K4" s="21" t="s">
        <v>421</v>
      </c>
      <c r="L4" s="24">
        <v>56401047</v>
      </c>
      <c r="M4" s="21" t="s">
        <v>535</v>
      </c>
      <c r="N4" s="21" t="s">
        <v>31</v>
      </c>
      <c r="O4" s="21" t="s">
        <v>268</v>
      </c>
    </row>
    <row r="5" spans="1:15" ht="21.95" customHeight="1" x14ac:dyDescent="0.3">
      <c r="A5" s="21" t="s">
        <v>37</v>
      </c>
      <c r="B5" s="102"/>
      <c r="C5" s="102"/>
      <c r="D5" s="19" t="s">
        <v>683</v>
      </c>
      <c r="E5" s="4">
        <f>TRUNC(, 0)</f>
        <v>0</v>
      </c>
      <c r="F5" s="21"/>
      <c r="G5" s="21"/>
      <c r="H5" s="24">
        <v>110</v>
      </c>
      <c r="I5" s="21" t="s">
        <v>683</v>
      </c>
      <c r="J5" s="21" t="s">
        <v>535</v>
      </c>
      <c r="K5" s="21" t="s">
        <v>646</v>
      </c>
      <c r="L5" s="24">
        <v>0</v>
      </c>
      <c r="M5" s="21" t="s">
        <v>535</v>
      </c>
      <c r="N5" s="21"/>
      <c r="O5" s="21" t="s">
        <v>81</v>
      </c>
    </row>
    <row r="6" spans="1:15" ht="21.95" customHeight="1" x14ac:dyDescent="0.3">
      <c r="A6" s="21" t="s">
        <v>550</v>
      </c>
      <c r="B6" s="102"/>
      <c r="C6" s="102"/>
      <c r="D6" s="19" t="s">
        <v>321</v>
      </c>
      <c r="E6" s="4">
        <f>TRUNC(, 0)</f>
        <v>0</v>
      </c>
      <c r="F6" s="21"/>
      <c r="G6" s="21"/>
      <c r="H6" s="24">
        <v>120</v>
      </c>
      <c r="I6" s="21" t="s">
        <v>321</v>
      </c>
      <c r="J6" s="21" t="s">
        <v>535</v>
      </c>
      <c r="K6" s="21" t="s">
        <v>646</v>
      </c>
      <c r="L6" s="24">
        <v>0</v>
      </c>
      <c r="M6" s="21" t="s">
        <v>535</v>
      </c>
      <c r="N6" s="21"/>
      <c r="O6" s="21" t="s">
        <v>426</v>
      </c>
    </row>
    <row r="7" spans="1:15" ht="21.95" customHeight="1" x14ac:dyDescent="0.3">
      <c r="A7" s="21" t="s">
        <v>388</v>
      </c>
      <c r="B7" s="102"/>
      <c r="C7" s="103"/>
      <c r="D7" s="19" t="s">
        <v>719</v>
      </c>
      <c r="E7" s="4">
        <f>TRUNC(E4+E5-E6, 0)</f>
        <v>0</v>
      </c>
      <c r="F7" s="21"/>
      <c r="G7" s="21"/>
      <c r="H7" s="24">
        <v>190</v>
      </c>
      <c r="I7" s="21" t="s">
        <v>719</v>
      </c>
      <c r="J7" s="21" t="s">
        <v>535</v>
      </c>
      <c r="K7" s="21" t="s">
        <v>695</v>
      </c>
      <c r="L7" s="24">
        <v>56401047</v>
      </c>
      <c r="M7" s="21" t="s">
        <v>535</v>
      </c>
      <c r="N7" s="21"/>
      <c r="O7" s="21" t="s">
        <v>755</v>
      </c>
    </row>
    <row r="8" spans="1:15" ht="21.95" customHeight="1" x14ac:dyDescent="0.3">
      <c r="A8" s="21" t="s">
        <v>269</v>
      </c>
      <c r="B8" s="102"/>
      <c r="C8" s="101" t="s">
        <v>102</v>
      </c>
      <c r="D8" s="19" t="s">
        <v>603</v>
      </c>
      <c r="E8" s="4">
        <f>TRUNC(공종별집계표!H5, 0)</f>
        <v>0</v>
      </c>
      <c r="F8" s="21"/>
      <c r="G8" s="21"/>
      <c r="H8" s="24">
        <v>200</v>
      </c>
      <c r="I8" s="21" t="s">
        <v>603</v>
      </c>
      <c r="J8" s="21" t="s">
        <v>535</v>
      </c>
      <c r="K8" s="21" t="s">
        <v>445</v>
      </c>
      <c r="L8" s="24">
        <v>28861908</v>
      </c>
      <c r="M8" s="21" t="s">
        <v>535</v>
      </c>
      <c r="N8" s="21"/>
      <c r="O8" s="21" t="s">
        <v>780</v>
      </c>
    </row>
    <row r="9" spans="1:15" ht="21.95" customHeight="1" x14ac:dyDescent="0.3">
      <c r="A9" s="21" t="s">
        <v>13</v>
      </c>
      <c r="B9" s="102"/>
      <c r="C9" s="102"/>
      <c r="D9" s="19" t="s">
        <v>563</v>
      </c>
      <c r="E9" s="4">
        <f>TRUNC(E8*0.12, 0)</f>
        <v>0</v>
      </c>
      <c r="F9" s="21" t="s">
        <v>801</v>
      </c>
      <c r="G9" s="21"/>
      <c r="H9" s="24">
        <v>210</v>
      </c>
      <c r="I9" s="21" t="s">
        <v>563</v>
      </c>
      <c r="J9" s="21" t="s">
        <v>757</v>
      </c>
      <c r="K9" s="21" t="s">
        <v>760</v>
      </c>
      <c r="L9" s="24">
        <v>4329286</v>
      </c>
      <c r="M9" s="21" t="s">
        <v>535</v>
      </c>
      <c r="N9" s="21"/>
      <c r="O9" s="21" t="s">
        <v>78</v>
      </c>
    </row>
    <row r="10" spans="1:15" ht="21.95" customHeight="1" x14ac:dyDescent="0.3">
      <c r="A10" s="21" t="s">
        <v>155</v>
      </c>
      <c r="B10" s="102"/>
      <c r="C10" s="103"/>
      <c r="D10" s="19" t="s">
        <v>719</v>
      </c>
      <c r="E10" s="4">
        <f>TRUNC(E8+E9, 0)</f>
        <v>0</v>
      </c>
      <c r="F10" s="21"/>
      <c r="G10" s="21"/>
      <c r="H10" s="24">
        <v>290</v>
      </c>
      <c r="I10" s="21" t="s">
        <v>719</v>
      </c>
      <c r="J10" s="21" t="s">
        <v>535</v>
      </c>
      <c r="K10" s="21" t="s">
        <v>507</v>
      </c>
      <c r="L10" s="24">
        <v>33191194</v>
      </c>
      <c r="M10" s="21" t="s">
        <v>535</v>
      </c>
      <c r="N10" s="21"/>
      <c r="O10" s="21" t="s">
        <v>582</v>
      </c>
    </row>
    <row r="11" spans="1:15" ht="21.95" customHeight="1" x14ac:dyDescent="0.3">
      <c r="A11" s="21" t="s">
        <v>114</v>
      </c>
      <c r="B11" s="102"/>
      <c r="C11" s="101" t="s">
        <v>606</v>
      </c>
      <c r="D11" s="19" t="s">
        <v>739</v>
      </c>
      <c r="E11" s="4">
        <f>TRUNC(공종별집계표!J5, 0)</f>
        <v>0</v>
      </c>
      <c r="F11" s="21"/>
      <c r="G11" s="21"/>
      <c r="H11" s="24">
        <v>3100</v>
      </c>
      <c r="I11" s="21" t="s">
        <v>739</v>
      </c>
      <c r="J11" s="21" t="s">
        <v>535</v>
      </c>
      <c r="K11" s="21" t="s">
        <v>142</v>
      </c>
      <c r="L11" s="24">
        <v>1990889</v>
      </c>
      <c r="M11" s="21" t="s">
        <v>535</v>
      </c>
      <c r="N11" s="21"/>
      <c r="O11" s="21" t="s">
        <v>289</v>
      </c>
    </row>
    <row r="12" spans="1:15" ht="21.95" customHeight="1" x14ac:dyDescent="0.3">
      <c r="A12" s="21" t="s">
        <v>15</v>
      </c>
      <c r="B12" s="102"/>
      <c r="C12" s="102"/>
      <c r="D12" s="19" t="s">
        <v>706</v>
      </c>
      <c r="E12" s="4">
        <f>TRUNC(E10*0.0356, 0)</f>
        <v>0</v>
      </c>
      <c r="F12" s="21" t="s">
        <v>192</v>
      </c>
      <c r="G12" s="21" t="s">
        <v>466</v>
      </c>
      <c r="H12" s="24">
        <v>3300</v>
      </c>
      <c r="I12" s="21" t="s">
        <v>706</v>
      </c>
      <c r="J12" s="21" t="s">
        <v>509</v>
      </c>
      <c r="K12" s="21" t="s">
        <v>264</v>
      </c>
      <c r="L12" s="24">
        <v>1181606</v>
      </c>
      <c r="M12" s="21" t="s">
        <v>535</v>
      </c>
      <c r="N12" s="21"/>
      <c r="O12" s="21" t="s">
        <v>786</v>
      </c>
    </row>
    <row r="13" spans="1:15" ht="21.95" customHeight="1" x14ac:dyDescent="0.3">
      <c r="A13" s="21" t="s">
        <v>615</v>
      </c>
      <c r="B13" s="102"/>
      <c r="C13" s="102"/>
      <c r="D13" s="19" t="s">
        <v>631</v>
      </c>
      <c r="E13" s="4">
        <f>TRUNC(E10*0.0101, 0)</f>
        <v>0</v>
      </c>
      <c r="F13" s="21" t="s">
        <v>684</v>
      </c>
      <c r="G13" s="21" t="s">
        <v>729</v>
      </c>
      <c r="H13" s="24">
        <v>3400</v>
      </c>
      <c r="I13" s="21" t="s">
        <v>631</v>
      </c>
      <c r="J13" s="21" t="s">
        <v>4</v>
      </c>
      <c r="K13" s="21" t="s">
        <v>264</v>
      </c>
      <c r="L13" s="24">
        <v>335231</v>
      </c>
      <c r="M13" s="21" t="s">
        <v>535</v>
      </c>
      <c r="N13" s="21"/>
      <c r="O13" s="21" t="s">
        <v>450</v>
      </c>
    </row>
    <row r="14" spans="1:15" ht="21.95" customHeight="1" x14ac:dyDescent="0.3">
      <c r="A14" s="21" t="s">
        <v>69</v>
      </c>
      <c r="B14" s="102"/>
      <c r="C14" s="102"/>
      <c r="D14" s="19" t="s">
        <v>517</v>
      </c>
      <c r="E14" s="4">
        <f>TRUNC(E8*0, 0)</f>
        <v>0</v>
      </c>
      <c r="F14" s="21" t="s">
        <v>236</v>
      </c>
      <c r="G14" s="21" t="s">
        <v>795</v>
      </c>
      <c r="H14" s="24">
        <v>3500</v>
      </c>
      <c r="I14" s="21" t="s">
        <v>517</v>
      </c>
      <c r="J14" s="21" t="s">
        <v>616</v>
      </c>
      <c r="K14" s="21" t="s">
        <v>760</v>
      </c>
      <c r="L14" s="24">
        <v>1037585</v>
      </c>
      <c r="M14" s="21" t="s">
        <v>535</v>
      </c>
      <c r="N14" s="21"/>
      <c r="O14" s="21" t="s">
        <v>130</v>
      </c>
    </row>
    <row r="15" spans="1:15" ht="21.95" customHeight="1" x14ac:dyDescent="0.3">
      <c r="A15" s="21" t="s">
        <v>480</v>
      </c>
      <c r="B15" s="102"/>
      <c r="C15" s="102"/>
      <c r="D15" s="19" t="s">
        <v>491</v>
      </c>
      <c r="E15" s="4">
        <f>TRUNC(E8*0, 0)</f>
        <v>0</v>
      </c>
      <c r="F15" s="21" t="s">
        <v>3</v>
      </c>
      <c r="G15" s="21" t="s">
        <v>794</v>
      </c>
      <c r="H15" s="24">
        <v>3600</v>
      </c>
      <c r="I15" s="21" t="s">
        <v>491</v>
      </c>
      <c r="J15" s="21" t="s">
        <v>791</v>
      </c>
      <c r="K15" s="21" t="s">
        <v>760</v>
      </c>
      <c r="L15" s="24">
        <v>1370940</v>
      </c>
      <c r="M15" s="21" t="s">
        <v>535</v>
      </c>
      <c r="N15" s="21"/>
      <c r="O15" s="21" t="s">
        <v>668</v>
      </c>
    </row>
    <row r="16" spans="1:15" ht="21.95" customHeight="1" x14ac:dyDescent="0.3">
      <c r="A16" s="21" t="s">
        <v>221</v>
      </c>
      <c r="B16" s="102"/>
      <c r="C16" s="102"/>
      <c r="D16" s="19" t="s">
        <v>607</v>
      </c>
      <c r="E16" s="4">
        <f>TRUNC(E14*0.1314, 0)</f>
        <v>0</v>
      </c>
      <c r="F16" s="21" t="s">
        <v>559</v>
      </c>
      <c r="G16" s="21" t="s">
        <v>794</v>
      </c>
      <c r="H16" s="24">
        <v>3750</v>
      </c>
      <c r="I16" s="21" t="s">
        <v>607</v>
      </c>
      <c r="J16" s="21" t="s">
        <v>304</v>
      </c>
      <c r="K16" s="21" t="s">
        <v>393</v>
      </c>
      <c r="L16" s="24">
        <v>136338</v>
      </c>
      <c r="M16" s="21" t="s">
        <v>535</v>
      </c>
      <c r="N16" s="21"/>
      <c r="O16" s="21" t="s">
        <v>294</v>
      </c>
    </row>
    <row r="17" spans="1:15" ht="21.95" customHeight="1" x14ac:dyDescent="0.3">
      <c r="A17" s="21" t="s">
        <v>350</v>
      </c>
      <c r="B17" s="102"/>
      <c r="C17" s="102"/>
      <c r="D17" s="19" t="s">
        <v>759</v>
      </c>
      <c r="E17" s="4"/>
      <c r="F17" s="21" t="s">
        <v>639</v>
      </c>
      <c r="G17" s="21" t="s">
        <v>811</v>
      </c>
      <c r="H17" s="24">
        <v>3775</v>
      </c>
      <c r="I17" s="21" t="s">
        <v>759</v>
      </c>
      <c r="J17" s="21" t="s">
        <v>674</v>
      </c>
      <c r="K17" s="21" t="s">
        <v>760</v>
      </c>
      <c r="L17" s="24">
        <v>663823</v>
      </c>
      <c r="M17" s="21" t="s">
        <v>535</v>
      </c>
      <c r="N17" s="21"/>
      <c r="O17" s="21" t="s">
        <v>686</v>
      </c>
    </row>
    <row r="18" spans="1:15" ht="21.95" customHeight="1" x14ac:dyDescent="0.3">
      <c r="A18" s="21" t="s">
        <v>776</v>
      </c>
      <c r="B18" s="102"/>
      <c r="C18" s="102"/>
      <c r="D18" s="19" t="s">
        <v>580</v>
      </c>
      <c r="E18" s="4">
        <f>TRUNC((E7+E8+0/1.1)*0.0311, 0)</f>
        <v>0</v>
      </c>
      <c r="F18" s="21" t="s">
        <v>143</v>
      </c>
      <c r="G18" s="21" t="s">
        <v>231</v>
      </c>
      <c r="H18" s="24">
        <v>3900</v>
      </c>
      <c r="I18" s="21" t="s">
        <v>580</v>
      </c>
      <c r="J18" s="21" t="s">
        <v>569</v>
      </c>
      <c r="K18" s="21" t="s">
        <v>158</v>
      </c>
      <c r="L18" s="24">
        <v>2651677</v>
      </c>
      <c r="M18" s="21" t="s">
        <v>535</v>
      </c>
      <c r="N18" s="21"/>
      <c r="O18" s="21" t="s">
        <v>132</v>
      </c>
    </row>
    <row r="19" spans="1:15" ht="21.95" customHeight="1" x14ac:dyDescent="0.3">
      <c r="A19" s="21" t="s">
        <v>91</v>
      </c>
      <c r="B19" s="102"/>
      <c r="C19" s="102"/>
      <c r="D19" s="19" t="s">
        <v>196</v>
      </c>
      <c r="E19" s="4">
        <f>TRUNC((E7+E8+E11)*0.005, 0)</f>
        <v>0</v>
      </c>
      <c r="F19" s="21" t="s">
        <v>248</v>
      </c>
      <c r="G19" s="21"/>
      <c r="H19" s="24">
        <v>4600</v>
      </c>
      <c r="I19" s="21" t="s">
        <v>196</v>
      </c>
      <c r="J19" s="21" t="s">
        <v>752</v>
      </c>
      <c r="K19" s="21" t="s">
        <v>297</v>
      </c>
      <c r="L19" s="24">
        <v>436269</v>
      </c>
      <c r="M19" s="21" t="s">
        <v>535</v>
      </c>
      <c r="N19" s="21"/>
      <c r="O19" s="21" t="s">
        <v>169</v>
      </c>
    </row>
    <row r="20" spans="1:15" ht="21.95" customHeight="1" x14ac:dyDescent="0.3">
      <c r="A20" s="21" t="s">
        <v>539</v>
      </c>
      <c r="B20" s="102"/>
      <c r="C20" s="102"/>
      <c r="D20" s="19" t="s">
        <v>295</v>
      </c>
      <c r="E20" s="4">
        <f>TRUNC((E7+E10)*0.046, 0)</f>
        <v>0</v>
      </c>
      <c r="F20" s="21" t="s">
        <v>524</v>
      </c>
      <c r="G20" s="21"/>
      <c r="H20" s="24">
        <v>4700</v>
      </c>
      <c r="I20" s="21" t="s">
        <v>295</v>
      </c>
      <c r="J20" s="21" t="s">
        <v>75</v>
      </c>
      <c r="K20" s="21" t="s">
        <v>754</v>
      </c>
      <c r="L20" s="24">
        <v>4121243</v>
      </c>
      <c r="M20" s="21" t="s">
        <v>535</v>
      </c>
      <c r="N20" s="21"/>
      <c r="O20" s="21" t="s">
        <v>133</v>
      </c>
    </row>
    <row r="21" spans="1:15" ht="21.95" customHeight="1" x14ac:dyDescent="0.3">
      <c r="A21" s="21" t="s">
        <v>505</v>
      </c>
      <c r="B21" s="103"/>
      <c r="C21" s="103"/>
      <c r="D21" s="19" t="s">
        <v>719</v>
      </c>
      <c r="E21" s="4">
        <f>TRUNC(0+E11+0+0+E12+E13+E14+E15+E16+E17+0+E18+0+0+0+0+E19+E20+0+0+0+0+0, 0)</f>
        <v>0</v>
      </c>
      <c r="F21" s="21"/>
      <c r="G21" s="21"/>
      <c r="H21" s="24">
        <v>9910</v>
      </c>
      <c r="I21" s="21" t="s">
        <v>719</v>
      </c>
      <c r="J21" s="21" t="s">
        <v>535</v>
      </c>
      <c r="K21" s="21" t="s">
        <v>601</v>
      </c>
      <c r="L21" s="24">
        <v>13925601</v>
      </c>
      <c r="M21" s="21" t="s">
        <v>535</v>
      </c>
      <c r="N21" s="21"/>
      <c r="O21" s="21" t="s">
        <v>762</v>
      </c>
    </row>
    <row r="22" spans="1:15" ht="21.95" customHeight="1" x14ac:dyDescent="0.3">
      <c r="A22" s="21" t="s">
        <v>136</v>
      </c>
      <c r="B22" s="77" t="s">
        <v>781</v>
      </c>
      <c r="C22" s="81"/>
      <c r="D22" s="78"/>
      <c r="E22" s="4">
        <f>TRUNC(E7+E10+E21, 0)</f>
        <v>0</v>
      </c>
      <c r="F22" s="21"/>
      <c r="G22" s="21"/>
      <c r="H22" s="24">
        <v>900710</v>
      </c>
      <c r="I22" s="21" t="s">
        <v>781</v>
      </c>
      <c r="J22" s="21" t="s">
        <v>535</v>
      </c>
      <c r="K22" s="21" t="s">
        <v>430</v>
      </c>
      <c r="L22" s="24">
        <v>103517842</v>
      </c>
      <c r="M22" s="21" t="s">
        <v>535</v>
      </c>
      <c r="N22" s="21"/>
      <c r="O22" s="21" t="s">
        <v>2</v>
      </c>
    </row>
    <row r="23" spans="1:15" ht="21.95" customHeight="1" x14ac:dyDescent="0.3">
      <c r="A23" s="21" t="s">
        <v>730</v>
      </c>
      <c r="B23" s="77" t="s">
        <v>310</v>
      </c>
      <c r="C23" s="81"/>
      <c r="D23" s="78"/>
      <c r="E23" s="4">
        <f>TRUNC(E22*0.06, 0)</f>
        <v>0</v>
      </c>
      <c r="F23" s="21" t="s">
        <v>799</v>
      </c>
      <c r="G23" s="21"/>
      <c r="H23" s="24">
        <v>900810</v>
      </c>
      <c r="I23" s="21" t="s">
        <v>310</v>
      </c>
      <c r="J23" s="21" t="s">
        <v>335</v>
      </c>
      <c r="K23" s="21" t="s">
        <v>576</v>
      </c>
      <c r="L23" s="24">
        <v>8281427</v>
      </c>
      <c r="M23" s="21" t="s">
        <v>535</v>
      </c>
      <c r="N23" s="21"/>
      <c r="O23" s="21" t="s">
        <v>116</v>
      </c>
    </row>
    <row r="24" spans="1:15" ht="21.95" customHeight="1" x14ac:dyDescent="0.3">
      <c r="A24" s="21" t="s">
        <v>372</v>
      </c>
      <c r="B24" s="77" t="s">
        <v>284</v>
      </c>
      <c r="C24" s="81"/>
      <c r="D24" s="78"/>
      <c r="E24" s="4">
        <f>TRUNC((E10+E21+E23)*0.12, 0)</f>
        <v>0</v>
      </c>
      <c r="F24" s="21" t="s">
        <v>810</v>
      </c>
      <c r="G24" s="21"/>
      <c r="H24" s="24">
        <v>900820</v>
      </c>
      <c r="I24" s="21" t="s">
        <v>284</v>
      </c>
      <c r="J24" s="21" t="s">
        <v>757</v>
      </c>
      <c r="K24" s="21" t="s">
        <v>311</v>
      </c>
      <c r="L24" s="24">
        <v>8309733</v>
      </c>
      <c r="M24" s="21" t="s">
        <v>535</v>
      </c>
      <c r="N24" s="21"/>
      <c r="O24" s="21" t="s">
        <v>455</v>
      </c>
    </row>
    <row r="25" spans="1:15" ht="21.95" customHeight="1" x14ac:dyDescent="0.3">
      <c r="A25" s="21"/>
      <c r="B25" s="77" t="s">
        <v>798</v>
      </c>
      <c r="C25" s="81"/>
      <c r="D25" s="78"/>
      <c r="E25" s="4">
        <f>공종별집계표!L8</f>
        <v>0</v>
      </c>
      <c r="F25" s="21"/>
      <c r="G25" s="21"/>
      <c r="H25" s="24"/>
      <c r="I25" s="21"/>
      <c r="J25" s="21"/>
      <c r="K25" s="21"/>
      <c r="L25" s="24"/>
      <c r="M25" s="21"/>
      <c r="N25" s="21"/>
      <c r="O25" s="21"/>
    </row>
    <row r="26" spans="1:15" ht="21.95" customHeight="1" x14ac:dyDescent="0.3">
      <c r="A26" s="21" t="s">
        <v>692</v>
      </c>
      <c r="B26" s="77" t="s">
        <v>100</v>
      </c>
      <c r="C26" s="81"/>
      <c r="D26" s="78"/>
      <c r="E26" s="4">
        <f>TRUNC(E22+E23+E24+E25, 0)</f>
        <v>0</v>
      </c>
      <c r="F26" s="21"/>
      <c r="G26" s="21"/>
      <c r="H26" s="24">
        <v>900900</v>
      </c>
      <c r="I26" s="21" t="s">
        <v>100</v>
      </c>
      <c r="J26" s="21" t="s">
        <v>535</v>
      </c>
      <c r="K26" s="21" t="s">
        <v>82</v>
      </c>
      <c r="L26" s="24">
        <v>120109002</v>
      </c>
      <c r="M26" s="21" t="s">
        <v>535</v>
      </c>
      <c r="N26" s="21"/>
      <c r="O26" s="21" t="s">
        <v>457</v>
      </c>
    </row>
    <row r="27" spans="1:15" ht="21.95" customHeight="1" x14ac:dyDescent="0.3">
      <c r="A27" s="21" t="s">
        <v>543</v>
      </c>
      <c r="B27" s="77" t="s">
        <v>176</v>
      </c>
      <c r="C27" s="81"/>
      <c r="D27" s="78"/>
      <c r="E27" s="4">
        <f>TRUNC(E26*0.1, 0)</f>
        <v>0</v>
      </c>
      <c r="F27" s="21" t="s">
        <v>182</v>
      </c>
      <c r="G27" s="21"/>
      <c r="H27" s="24">
        <v>900920</v>
      </c>
      <c r="I27" s="21" t="s">
        <v>176</v>
      </c>
      <c r="J27" s="21" t="s">
        <v>210</v>
      </c>
      <c r="K27" s="21" t="s">
        <v>333</v>
      </c>
      <c r="L27" s="24">
        <v>12010900</v>
      </c>
      <c r="M27" s="21" t="s">
        <v>535</v>
      </c>
      <c r="N27" s="21"/>
      <c r="O27" s="21" t="s">
        <v>1</v>
      </c>
    </row>
    <row r="28" spans="1:15" ht="21.95" customHeight="1" x14ac:dyDescent="0.3">
      <c r="A28" s="21" t="s">
        <v>380</v>
      </c>
      <c r="B28" s="77" t="s">
        <v>482</v>
      </c>
      <c r="C28" s="81"/>
      <c r="D28" s="78"/>
      <c r="E28" s="4">
        <f>TRUNC(E26+E27, 0)</f>
        <v>0</v>
      </c>
      <c r="F28" s="21"/>
      <c r="G28" s="21"/>
      <c r="H28" s="24">
        <v>900990</v>
      </c>
      <c r="I28" s="21" t="s">
        <v>482</v>
      </c>
      <c r="J28" s="21" t="s">
        <v>535</v>
      </c>
      <c r="K28" s="21" t="s">
        <v>645</v>
      </c>
      <c r="L28" s="24">
        <v>132119902</v>
      </c>
      <c r="M28" s="21" t="s">
        <v>535</v>
      </c>
      <c r="N28" s="21"/>
      <c r="O28" s="21" t="s">
        <v>432</v>
      </c>
    </row>
    <row r="29" spans="1:15" ht="21.95" customHeight="1" x14ac:dyDescent="0.3">
      <c r="A29" s="21" t="s">
        <v>690</v>
      </c>
      <c r="B29" s="77" t="s">
        <v>324</v>
      </c>
      <c r="C29" s="81"/>
      <c r="D29" s="78"/>
      <c r="E29" s="4">
        <f>TRUNC(, 0)</f>
        <v>0</v>
      </c>
      <c r="F29" s="21"/>
      <c r="G29" s="21"/>
      <c r="H29" s="24">
        <v>900910</v>
      </c>
      <c r="I29" s="21" t="s">
        <v>324</v>
      </c>
      <c r="J29" s="21" t="s">
        <v>535</v>
      </c>
      <c r="K29" s="21" t="s">
        <v>646</v>
      </c>
      <c r="L29" s="24">
        <v>0</v>
      </c>
      <c r="M29" s="21" t="s">
        <v>535</v>
      </c>
      <c r="N29" s="21"/>
      <c r="O29" s="21" t="s">
        <v>356</v>
      </c>
    </row>
    <row r="30" spans="1:15" ht="21.95" customHeight="1" x14ac:dyDescent="0.3">
      <c r="A30" s="21" t="s">
        <v>788</v>
      </c>
      <c r="B30" s="77" t="s">
        <v>467</v>
      </c>
      <c r="C30" s="81"/>
      <c r="D30" s="78"/>
      <c r="E30" s="4">
        <f>TRUNC(E28, -4)</f>
        <v>0</v>
      </c>
      <c r="F30" s="21" t="s">
        <v>800</v>
      </c>
      <c r="G30" s="21"/>
      <c r="H30" s="24">
        <v>1001100</v>
      </c>
      <c r="I30" s="21" t="s">
        <v>467</v>
      </c>
      <c r="J30" s="21" t="s">
        <v>535</v>
      </c>
      <c r="K30" s="21" t="s">
        <v>382</v>
      </c>
      <c r="L30" s="24">
        <v>132119902</v>
      </c>
      <c r="M30" s="21" t="s">
        <v>535</v>
      </c>
      <c r="N30" s="21"/>
      <c r="O30" s="21" t="s">
        <v>761</v>
      </c>
    </row>
    <row r="31" spans="1:15" ht="21.95" customHeight="1" x14ac:dyDescent="0.3">
      <c r="A31" s="21" t="s">
        <v>434</v>
      </c>
      <c r="B31" s="77" t="s">
        <v>254</v>
      </c>
      <c r="C31" s="81"/>
      <c r="D31" s="78"/>
      <c r="E31" s="4">
        <f>TRUNC(, 0)</f>
        <v>0</v>
      </c>
      <c r="F31" s="21"/>
      <c r="G31" s="21"/>
      <c r="H31" s="24">
        <v>1001300</v>
      </c>
      <c r="I31" s="21" t="s">
        <v>254</v>
      </c>
      <c r="J31" s="21" t="s">
        <v>535</v>
      </c>
      <c r="K31" s="21" t="s">
        <v>646</v>
      </c>
      <c r="L31" s="24">
        <v>0</v>
      </c>
      <c r="M31" s="21" t="s">
        <v>535</v>
      </c>
      <c r="N31" s="21"/>
      <c r="O31" s="21" t="s">
        <v>746</v>
      </c>
    </row>
  </sheetData>
  <mergeCells count="18">
    <mergeCell ref="B28:D28"/>
    <mergeCell ref="B29:D29"/>
    <mergeCell ref="B30:D30"/>
    <mergeCell ref="B31:D31"/>
    <mergeCell ref="F2:G2"/>
    <mergeCell ref="B22:D22"/>
    <mergeCell ref="B23:D23"/>
    <mergeCell ref="B24:D24"/>
    <mergeCell ref="B26:D26"/>
    <mergeCell ref="B27:D27"/>
    <mergeCell ref="B25:D25"/>
    <mergeCell ref="A1:G1"/>
    <mergeCell ref="A2:E2"/>
    <mergeCell ref="B3:D3"/>
    <mergeCell ref="B4:B21"/>
    <mergeCell ref="C4:C7"/>
    <mergeCell ref="C8:C10"/>
    <mergeCell ref="C11:C21"/>
  </mergeCells>
  <phoneticPr fontId="15" type="noConversion"/>
  <pageMargins left="0.78740157480314954" right="0" top="0.39370078740157477" bottom="0.37735849056603776" header="0" footer="0"/>
  <pageSetup paperSize="9" scale="7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  <pageSetUpPr fitToPage="1"/>
  </sheetPr>
  <dimension ref="A1:S29"/>
  <sheetViews>
    <sheetView view="pageBreakPreview" zoomScale="60" zoomScaleNormal="100" workbookViewId="0">
      <selection activeCell="B24" sqref="A24:B24"/>
    </sheetView>
  </sheetViews>
  <sheetFormatPr defaultColWidth="9.125"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17" width="9.125" hidden="1"/>
    <col min="18" max="18" width="3.75" customWidth="1"/>
    <col min="19" max="19" width="12.625" hidden="1" customWidth="1"/>
  </cols>
  <sheetData>
    <row r="1" spans="1:19" ht="28.5" customHeight="1" x14ac:dyDescent="0.3">
      <c r="A1" s="96" t="s">
        <v>291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19" ht="28.5" customHeight="1" x14ac:dyDescent="0.3">
      <c r="A2" s="97" t="str">
        <f>"[" &amp; 설계서용지!F7 &amp; "]"</f>
        <v>[공용 스마트 교육공간 인프라 구축 건축공사]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19" ht="28.5" customHeight="1" x14ac:dyDescent="0.3">
      <c r="A3" s="105" t="s">
        <v>512</v>
      </c>
      <c r="B3" s="105" t="s">
        <v>397</v>
      </c>
      <c r="C3" s="105" t="s">
        <v>59</v>
      </c>
      <c r="D3" s="105" t="s">
        <v>641</v>
      </c>
      <c r="E3" s="98" t="s">
        <v>76</v>
      </c>
      <c r="F3" s="100"/>
      <c r="G3" s="98" t="s">
        <v>385</v>
      </c>
      <c r="H3" s="100"/>
      <c r="I3" s="98" t="s">
        <v>219</v>
      </c>
      <c r="J3" s="100"/>
      <c r="K3" s="98" t="s">
        <v>490</v>
      </c>
      <c r="L3" s="100"/>
      <c r="M3" s="105" t="s">
        <v>605</v>
      </c>
    </row>
    <row r="4" spans="1:19" ht="28.5" customHeight="1" x14ac:dyDescent="0.3">
      <c r="A4" s="106"/>
      <c r="B4" s="106"/>
      <c r="C4" s="106"/>
      <c r="D4" s="106"/>
      <c r="E4" s="18" t="s">
        <v>768</v>
      </c>
      <c r="F4" s="18" t="s">
        <v>7</v>
      </c>
      <c r="G4" s="18" t="s">
        <v>768</v>
      </c>
      <c r="H4" s="18" t="s">
        <v>7</v>
      </c>
      <c r="I4" s="18" t="s">
        <v>768</v>
      </c>
      <c r="J4" s="18" t="s">
        <v>7</v>
      </c>
      <c r="K4" s="18" t="s">
        <v>768</v>
      </c>
      <c r="L4" s="18" t="s">
        <v>7</v>
      </c>
      <c r="M4" s="106"/>
    </row>
    <row r="5" spans="1:19" ht="28.5" customHeight="1" x14ac:dyDescent="0.3">
      <c r="A5" s="7" t="s">
        <v>283</v>
      </c>
      <c r="B5" s="21"/>
      <c r="C5" s="21"/>
      <c r="D5" s="24">
        <v>1</v>
      </c>
      <c r="E5" s="9">
        <f>F6+F7+F9+F11+F12+F13+F14+F10</f>
        <v>0</v>
      </c>
      <c r="F5" s="9">
        <f t="shared" ref="F5:F14" si="0">D5*E5</f>
        <v>0</v>
      </c>
      <c r="G5" s="9">
        <f>H6+H7+H9+H11+H12+H13+H14+H10</f>
        <v>0</v>
      </c>
      <c r="H5" s="9">
        <f t="shared" ref="H5:H14" si="1">D5*G5</f>
        <v>0</v>
      </c>
      <c r="I5" s="9">
        <f>J6+J7+J9+J11+J12+J13+J14+J10</f>
        <v>0</v>
      </c>
      <c r="J5" s="9">
        <f t="shared" ref="J5:J14" si="2">D5*I5</f>
        <v>0</v>
      </c>
      <c r="K5" s="9">
        <f t="shared" ref="K5:K14" si="3">E5+G5+I5</f>
        <v>0</v>
      </c>
      <c r="L5" s="9">
        <f t="shared" ref="L5:L14" si="4">F5+H5+J5</f>
        <v>0</v>
      </c>
      <c r="M5" s="17"/>
      <c r="N5" s="1" t="s">
        <v>334</v>
      </c>
      <c r="O5" s="20">
        <v>100000</v>
      </c>
      <c r="P5" s="15"/>
      <c r="R5" s="1" t="s">
        <v>646</v>
      </c>
      <c r="S5" s="15" t="s">
        <v>646</v>
      </c>
    </row>
    <row r="6" spans="1:19" ht="28.5" customHeight="1" x14ac:dyDescent="0.3">
      <c r="A6" s="7" t="s">
        <v>141</v>
      </c>
      <c r="B6" s="21"/>
      <c r="C6" s="21"/>
      <c r="D6" s="24">
        <v>1</v>
      </c>
      <c r="E6" s="9">
        <f>공종별내역서!F26</f>
        <v>0</v>
      </c>
      <c r="F6" s="9">
        <f t="shared" si="0"/>
        <v>0</v>
      </c>
      <c r="G6" s="9">
        <f>공종별내역서!H26</f>
        <v>0</v>
      </c>
      <c r="H6" s="9">
        <f t="shared" si="1"/>
        <v>0</v>
      </c>
      <c r="I6" s="9">
        <f>공종별내역서!J26</f>
        <v>0</v>
      </c>
      <c r="J6" s="9">
        <f t="shared" si="2"/>
        <v>0</v>
      </c>
      <c r="K6" s="9">
        <f t="shared" si="3"/>
        <v>0</v>
      </c>
      <c r="L6" s="9">
        <f t="shared" si="4"/>
        <v>0</v>
      </c>
      <c r="M6" s="17"/>
      <c r="N6" s="1" t="s">
        <v>54</v>
      </c>
      <c r="O6" s="20">
        <v>239729</v>
      </c>
      <c r="P6" s="15"/>
      <c r="R6" s="1" t="s">
        <v>646</v>
      </c>
      <c r="S6" s="14" t="str">
        <f>HYPERLINK("#공종별내역서!A5", "▶바로가기")</f>
        <v>▶바로가기</v>
      </c>
    </row>
    <row r="7" spans="1:19" ht="28.5" customHeight="1" x14ac:dyDescent="0.3">
      <c r="A7" s="7" t="s">
        <v>673</v>
      </c>
      <c r="B7" s="21"/>
      <c r="C7" s="21"/>
      <c r="D7" s="24">
        <v>1</v>
      </c>
      <c r="E7" s="9">
        <f>공종별내역서!F48</f>
        <v>0</v>
      </c>
      <c r="F7" s="9">
        <f t="shared" si="0"/>
        <v>0</v>
      </c>
      <c r="G7" s="9">
        <f>공종별내역서!H48</f>
        <v>0</v>
      </c>
      <c r="H7" s="9">
        <f t="shared" si="1"/>
        <v>0</v>
      </c>
      <c r="I7" s="9">
        <f>공종별내역서!J48</f>
        <v>0</v>
      </c>
      <c r="J7" s="9">
        <f t="shared" si="2"/>
        <v>0</v>
      </c>
      <c r="K7" s="9">
        <f t="shared" si="3"/>
        <v>0</v>
      </c>
      <c r="L7" s="9">
        <f t="shared" si="4"/>
        <v>0</v>
      </c>
      <c r="M7" s="17"/>
      <c r="N7" s="1" t="s">
        <v>341</v>
      </c>
      <c r="O7" s="20">
        <v>385632</v>
      </c>
      <c r="P7" s="15"/>
      <c r="R7" s="1" t="s">
        <v>646</v>
      </c>
      <c r="S7" s="14" t="str">
        <f>HYPERLINK("#공종별내역서!A27", "▶바로가기")</f>
        <v>▶바로가기</v>
      </c>
    </row>
    <row r="8" spans="1:19" ht="28.5" customHeight="1" x14ac:dyDescent="0.3">
      <c r="A8" s="7" t="s">
        <v>160</v>
      </c>
      <c r="B8" s="21"/>
      <c r="C8" s="21"/>
      <c r="D8" s="24">
        <v>1</v>
      </c>
      <c r="E8" s="9">
        <f>공종별내역서!F70</f>
        <v>0</v>
      </c>
      <c r="F8" s="9">
        <f t="shared" si="0"/>
        <v>0</v>
      </c>
      <c r="G8" s="9">
        <f>공종별내역서!H70</f>
        <v>0</v>
      </c>
      <c r="H8" s="9">
        <f t="shared" si="1"/>
        <v>0</v>
      </c>
      <c r="I8" s="9">
        <f>공종별내역서!J70</f>
        <v>0</v>
      </c>
      <c r="J8" s="9">
        <f t="shared" si="2"/>
        <v>0</v>
      </c>
      <c r="K8" s="9">
        <f t="shared" si="3"/>
        <v>0</v>
      </c>
      <c r="L8" s="9">
        <f t="shared" si="4"/>
        <v>0</v>
      </c>
      <c r="M8" s="27" t="s">
        <v>797</v>
      </c>
      <c r="N8" s="1" t="s">
        <v>710</v>
      </c>
      <c r="O8" s="20">
        <v>454493</v>
      </c>
      <c r="P8" s="15"/>
      <c r="R8" s="1" t="s">
        <v>646</v>
      </c>
      <c r="S8" s="14" t="str">
        <f>HYPERLINK("#공종별내역서!A49", "▶바로가기")</f>
        <v>▶바로가기</v>
      </c>
    </row>
    <row r="9" spans="1:19" ht="28.5" customHeight="1" x14ac:dyDescent="0.3">
      <c r="A9" s="7" t="s">
        <v>357</v>
      </c>
      <c r="B9" s="21"/>
      <c r="C9" s="21"/>
      <c r="D9" s="24">
        <v>1</v>
      </c>
      <c r="E9" s="9">
        <f>공종별내역서!F92</f>
        <v>0</v>
      </c>
      <c r="F9" s="9">
        <f t="shared" si="0"/>
        <v>0</v>
      </c>
      <c r="G9" s="9">
        <f>공종별내역서!H92</f>
        <v>0</v>
      </c>
      <c r="H9" s="9">
        <f t="shared" si="1"/>
        <v>0</v>
      </c>
      <c r="I9" s="9">
        <f>공종별내역서!J92</f>
        <v>0</v>
      </c>
      <c r="J9" s="9">
        <f t="shared" si="2"/>
        <v>0</v>
      </c>
      <c r="K9" s="9">
        <f t="shared" si="3"/>
        <v>0</v>
      </c>
      <c r="L9" s="9">
        <f t="shared" si="4"/>
        <v>0</v>
      </c>
      <c r="M9" s="17"/>
      <c r="N9" s="1" t="s">
        <v>554</v>
      </c>
      <c r="O9" s="20">
        <v>592989</v>
      </c>
      <c r="P9" s="15"/>
      <c r="R9" s="1" t="s">
        <v>646</v>
      </c>
      <c r="S9" s="14" t="str">
        <f>HYPERLINK("#공종별내역서!A71", "▶바로가기")</f>
        <v>▶바로가기</v>
      </c>
    </row>
    <row r="10" spans="1:19" ht="28.5" customHeight="1" x14ac:dyDescent="0.3">
      <c r="A10" s="7" t="s">
        <v>655</v>
      </c>
      <c r="B10" s="21"/>
      <c r="C10" s="21"/>
      <c r="D10" s="24">
        <v>1</v>
      </c>
      <c r="E10" s="9">
        <f>공종별내역서!F114</f>
        <v>0</v>
      </c>
      <c r="F10" s="9">
        <f t="shared" si="0"/>
        <v>0</v>
      </c>
      <c r="G10" s="9">
        <f>공종별내역서!H114</f>
        <v>0</v>
      </c>
      <c r="H10" s="9">
        <f t="shared" si="1"/>
        <v>0</v>
      </c>
      <c r="I10" s="9">
        <f>공종별내역서!J114</f>
        <v>0</v>
      </c>
      <c r="J10" s="9">
        <f t="shared" si="2"/>
        <v>0</v>
      </c>
      <c r="K10" s="9">
        <f t="shared" si="3"/>
        <v>0</v>
      </c>
      <c r="L10" s="9">
        <f t="shared" si="4"/>
        <v>0</v>
      </c>
      <c r="M10" s="17"/>
      <c r="N10" s="1" t="s">
        <v>700</v>
      </c>
      <c r="O10" s="20">
        <v>592990</v>
      </c>
      <c r="P10" s="15"/>
      <c r="R10" s="1" t="s">
        <v>646</v>
      </c>
      <c r="S10" s="14" t="str">
        <f>HYPERLINK("#공종별내역서!A93", "▶바로가기")</f>
        <v>▶바로가기</v>
      </c>
    </row>
    <row r="11" spans="1:19" ht="28.5" customHeight="1" x14ac:dyDescent="0.3">
      <c r="A11" s="7" t="s">
        <v>213</v>
      </c>
      <c r="B11" s="21"/>
      <c r="C11" s="21"/>
      <c r="D11" s="24">
        <v>1</v>
      </c>
      <c r="E11" s="9">
        <f>공종별내역서!F136</f>
        <v>0</v>
      </c>
      <c r="F11" s="9">
        <f t="shared" si="0"/>
        <v>0</v>
      </c>
      <c r="G11" s="9">
        <f>공종별내역서!H136</f>
        <v>0</v>
      </c>
      <c r="H11" s="9">
        <f t="shared" si="1"/>
        <v>0</v>
      </c>
      <c r="I11" s="9">
        <f>공종별내역서!J136</f>
        <v>0</v>
      </c>
      <c r="J11" s="9">
        <f t="shared" si="2"/>
        <v>0</v>
      </c>
      <c r="K11" s="9">
        <f t="shared" si="3"/>
        <v>0</v>
      </c>
      <c r="L11" s="9">
        <f t="shared" si="4"/>
        <v>0</v>
      </c>
      <c r="M11" s="17"/>
      <c r="N11" s="1" t="s">
        <v>461</v>
      </c>
      <c r="O11" s="20">
        <v>670283</v>
      </c>
      <c r="P11" s="15"/>
      <c r="R11" s="1" t="s">
        <v>646</v>
      </c>
      <c r="S11" s="14" t="str">
        <f>HYPERLINK("#공종별내역서!A115", "▶바로가기")</f>
        <v>▶바로가기</v>
      </c>
    </row>
    <row r="12" spans="1:19" ht="28.5" customHeight="1" x14ac:dyDescent="0.3">
      <c r="A12" s="7" t="s">
        <v>697</v>
      </c>
      <c r="B12" s="21"/>
      <c r="C12" s="21"/>
      <c r="D12" s="24">
        <v>1</v>
      </c>
      <c r="E12" s="9">
        <f>공종별내역서!F158</f>
        <v>0</v>
      </c>
      <c r="F12" s="9">
        <f t="shared" si="0"/>
        <v>0</v>
      </c>
      <c r="G12" s="9">
        <f>공종별내역서!H158</f>
        <v>0</v>
      </c>
      <c r="H12" s="9">
        <f t="shared" si="1"/>
        <v>0</v>
      </c>
      <c r="I12" s="9">
        <f>공종별내역서!J158</f>
        <v>0</v>
      </c>
      <c r="J12" s="9">
        <f t="shared" si="2"/>
        <v>0</v>
      </c>
      <c r="K12" s="9">
        <f t="shared" si="3"/>
        <v>0</v>
      </c>
      <c r="L12" s="9">
        <f t="shared" si="4"/>
        <v>0</v>
      </c>
      <c r="M12" s="17"/>
      <c r="N12" s="1" t="s">
        <v>200</v>
      </c>
      <c r="O12" s="20">
        <v>805137</v>
      </c>
      <c r="P12" s="15"/>
      <c r="R12" s="1" t="s">
        <v>646</v>
      </c>
      <c r="S12" s="14" t="str">
        <f>HYPERLINK("#공종별내역서!A137", "▶바로가기")</f>
        <v>▶바로가기</v>
      </c>
    </row>
    <row r="13" spans="1:19" ht="28.5" customHeight="1" x14ac:dyDescent="0.3">
      <c r="A13" s="7" t="s">
        <v>591</v>
      </c>
      <c r="B13" s="21"/>
      <c r="C13" s="21"/>
      <c r="D13" s="24">
        <v>1</v>
      </c>
      <c r="E13" s="9">
        <f>공종별내역서!F180</f>
        <v>0</v>
      </c>
      <c r="F13" s="9">
        <f t="shared" si="0"/>
        <v>0</v>
      </c>
      <c r="G13" s="9">
        <f>공종별내역서!H180</f>
        <v>0</v>
      </c>
      <c r="H13" s="9">
        <f t="shared" si="1"/>
        <v>0</v>
      </c>
      <c r="I13" s="9">
        <f>공종별내역서!J180</f>
        <v>0</v>
      </c>
      <c r="J13" s="9">
        <f t="shared" si="2"/>
        <v>0</v>
      </c>
      <c r="K13" s="9">
        <f t="shared" si="3"/>
        <v>0</v>
      </c>
      <c r="L13" s="9">
        <f t="shared" si="4"/>
        <v>0</v>
      </c>
      <c r="M13" s="17"/>
      <c r="N13" s="1" t="s">
        <v>745</v>
      </c>
      <c r="O13" s="20">
        <v>935666</v>
      </c>
      <c r="P13" s="15"/>
      <c r="R13" s="1" t="s">
        <v>646</v>
      </c>
      <c r="S13" s="14" t="str">
        <f>HYPERLINK("#공종별내역서!A159", "▶바로가기")</f>
        <v>▶바로가기</v>
      </c>
    </row>
    <row r="14" spans="1:19" ht="28.5" customHeight="1" x14ac:dyDescent="0.3">
      <c r="A14" s="7" t="s">
        <v>555</v>
      </c>
      <c r="B14" s="21"/>
      <c r="C14" s="21"/>
      <c r="D14" s="24">
        <v>1</v>
      </c>
      <c r="E14" s="9">
        <f>공종별내역서!F202</f>
        <v>0</v>
      </c>
      <c r="F14" s="9">
        <f t="shared" si="0"/>
        <v>0</v>
      </c>
      <c r="G14" s="9">
        <f>공종별내역서!H202</f>
        <v>0</v>
      </c>
      <c r="H14" s="9">
        <f t="shared" si="1"/>
        <v>0</v>
      </c>
      <c r="I14" s="9">
        <f>공종별내역서!J202</f>
        <v>0</v>
      </c>
      <c r="J14" s="9">
        <f t="shared" si="2"/>
        <v>0</v>
      </c>
      <c r="K14" s="9">
        <f t="shared" si="3"/>
        <v>0</v>
      </c>
      <c r="L14" s="9">
        <f t="shared" si="4"/>
        <v>0</v>
      </c>
      <c r="M14" s="17"/>
      <c r="N14" s="1" t="s">
        <v>129</v>
      </c>
      <c r="O14" s="20">
        <v>1062255</v>
      </c>
      <c r="P14" s="15"/>
      <c r="R14" s="1" t="s">
        <v>646</v>
      </c>
      <c r="S14" s="14" t="str">
        <f>HYPERLINK("#공종별내역서!A181", "▶바로가기")</f>
        <v>▶바로가기</v>
      </c>
    </row>
    <row r="15" spans="1:19" ht="28.5" customHeight="1" x14ac:dyDescent="0.3">
      <c r="A15" s="21" t="s">
        <v>646</v>
      </c>
      <c r="B15" s="21" t="s">
        <v>646</v>
      </c>
      <c r="C15" s="21" t="s">
        <v>646</v>
      </c>
      <c r="D15" s="21" t="s">
        <v>646</v>
      </c>
      <c r="E15" s="21" t="s">
        <v>646</v>
      </c>
      <c r="F15" s="21" t="s">
        <v>646</v>
      </c>
      <c r="G15" s="21" t="s">
        <v>646</v>
      </c>
      <c r="H15" s="21" t="s">
        <v>646</v>
      </c>
      <c r="I15" s="21" t="s">
        <v>646</v>
      </c>
      <c r="J15" s="21" t="s">
        <v>646</v>
      </c>
      <c r="K15" s="21" t="s">
        <v>646</v>
      </c>
      <c r="L15" s="21" t="s">
        <v>646</v>
      </c>
      <c r="M15" s="21" t="s">
        <v>646</v>
      </c>
    </row>
    <row r="16" spans="1:19" ht="28.5" customHeight="1" x14ac:dyDescent="0.3">
      <c r="A16" s="21" t="s">
        <v>646</v>
      </c>
      <c r="B16" s="21" t="s">
        <v>646</v>
      </c>
      <c r="C16" s="21" t="s">
        <v>646</v>
      </c>
      <c r="D16" s="21" t="s">
        <v>646</v>
      </c>
      <c r="E16" s="21" t="s">
        <v>646</v>
      </c>
      <c r="F16" s="21" t="s">
        <v>646</v>
      </c>
      <c r="G16" s="21" t="s">
        <v>646</v>
      </c>
      <c r="H16" s="21" t="s">
        <v>646</v>
      </c>
      <c r="I16" s="21" t="s">
        <v>646</v>
      </c>
      <c r="J16" s="21" t="s">
        <v>646</v>
      </c>
      <c r="K16" s="21" t="s">
        <v>646</v>
      </c>
      <c r="L16" s="21" t="s">
        <v>646</v>
      </c>
      <c r="M16" s="21" t="s">
        <v>646</v>
      </c>
    </row>
    <row r="17" spans="1:13" ht="28.5" customHeight="1" x14ac:dyDescent="0.3">
      <c r="A17" s="21" t="s">
        <v>646</v>
      </c>
      <c r="B17" s="21" t="s">
        <v>646</v>
      </c>
      <c r="C17" s="21" t="s">
        <v>646</v>
      </c>
      <c r="D17" s="21" t="s">
        <v>646</v>
      </c>
      <c r="E17" s="21" t="s">
        <v>646</v>
      </c>
      <c r="F17" s="21" t="s">
        <v>646</v>
      </c>
      <c r="G17" s="21" t="s">
        <v>646</v>
      </c>
      <c r="H17" s="21" t="s">
        <v>646</v>
      </c>
      <c r="I17" s="21" t="s">
        <v>646</v>
      </c>
      <c r="J17" s="21" t="s">
        <v>646</v>
      </c>
      <c r="K17" s="21" t="s">
        <v>646</v>
      </c>
      <c r="L17" s="21" t="s">
        <v>646</v>
      </c>
      <c r="M17" s="21" t="s">
        <v>646</v>
      </c>
    </row>
    <row r="18" spans="1:13" ht="28.5" customHeight="1" x14ac:dyDescent="0.3">
      <c r="A18" s="21" t="s">
        <v>646</v>
      </c>
      <c r="B18" s="21" t="s">
        <v>646</v>
      </c>
      <c r="C18" s="21" t="s">
        <v>646</v>
      </c>
      <c r="D18" s="21" t="s">
        <v>646</v>
      </c>
      <c r="E18" s="21" t="s">
        <v>646</v>
      </c>
      <c r="F18" s="21" t="s">
        <v>646</v>
      </c>
      <c r="G18" s="21" t="s">
        <v>646</v>
      </c>
      <c r="H18" s="21" t="s">
        <v>646</v>
      </c>
      <c r="I18" s="21" t="s">
        <v>646</v>
      </c>
      <c r="J18" s="21" t="s">
        <v>646</v>
      </c>
      <c r="K18" s="21" t="s">
        <v>646</v>
      </c>
      <c r="L18" s="21" t="s">
        <v>646</v>
      </c>
      <c r="M18" s="21" t="s">
        <v>646</v>
      </c>
    </row>
    <row r="19" spans="1:13" ht="28.5" customHeight="1" x14ac:dyDescent="0.3">
      <c r="A19" s="21" t="s">
        <v>646</v>
      </c>
      <c r="B19" s="21" t="s">
        <v>646</v>
      </c>
      <c r="C19" s="21" t="s">
        <v>646</v>
      </c>
      <c r="D19" s="21" t="s">
        <v>646</v>
      </c>
      <c r="E19" s="21" t="s">
        <v>646</v>
      </c>
      <c r="F19" s="21" t="s">
        <v>646</v>
      </c>
      <c r="G19" s="21" t="s">
        <v>646</v>
      </c>
      <c r="H19" s="21" t="s">
        <v>646</v>
      </c>
      <c r="I19" s="21" t="s">
        <v>646</v>
      </c>
      <c r="J19" s="21" t="s">
        <v>646</v>
      </c>
      <c r="K19" s="21" t="s">
        <v>646</v>
      </c>
      <c r="L19" s="21" t="s">
        <v>646</v>
      </c>
      <c r="M19" s="21" t="s">
        <v>646</v>
      </c>
    </row>
    <row r="20" spans="1:13" ht="28.5" customHeight="1" x14ac:dyDescent="0.3">
      <c r="A20" s="21" t="s">
        <v>646</v>
      </c>
      <c r="B20" s="21" t="s">
        <v>646</v>
      </c>
      <c r="C20" s="21" t="s">
        <v>646</v>
      </c>
      <c r="D20" s="21" t="s">
        <v>646</v>
      </c>
      <c r="E20" s="21" t="s">
        <v>646</v>
      </c>
      <c r="F20" s="21" t="s">
        <v>646</v>
      </c>
      <c r="G20" s="21" t="s">
        <v>646</v>
      </c>
      <c r="H20" s="21" t="s">
        <v>646</v>
      </c>
      <c r="I20" s="21" t="s">
        <v>646</v>
      </c>
      <c r="J20" s="21" t="s">
        <v>646</v>
      </c>
      <c r="K20" s="21" t="s">
        <v>646</v>
      </c>
      <c r="L20" s="21" t="s">
        <v>646</v>
      </c>
      <c r="M20" s="21" t="s">
        <v>646</v>
      </c>
    </row>
    <row r="21" spans="1:13" ht="28.5" customHeight="1" x14ac:dyDescent="0.3">
      <c r="A21" s="21" t="s">
        <v>646</v>
      </c>
      <c r="B21" s="21" t="s">
        <v>646</v>
      </c>
      <c r="C21" s="21" t="s">
        <v>646</v>
      </c>
      <c r="D21" s="21" t="s">
        <v>646</v>
      </c>
      <c r="E21" s="21" t="s">
        <v>646</v>
      </c>
      <c r="F21" s="21" t="s">
        <v>646</v>
      </c>
      <c r="G21" s="21" t="s">
        <v>646</v>
      </c>
      <c r="H21" s="21" t="s">
        <v>646</v>
      </c>
      <c r="I21" s="21" t="s">
        <v>646</v>
      </c>
      <c r="J21" s="21" t="s">
        <v>646</v>
      </c>
      <c r="K21" s="21" t="s">
        <v>646</v>
      </c>
      <c r="L21" s="21" t="s">
        <v>646</v>
      </c>
      <c r="M21" s="21" t="s">
        <v>646</v>
      </c>
    </row>
    <row r="22" spans="1:13" ht="28.5" customHeight="1" x14ac:dyDescent="0.3">
      <c r="A22" s="21" t="s">
        <v>646</v>
      </c>
      <c r="B22" s="21" t="s">
        <v>646</v>
      </c>
      <c r="C22" s="21" t="s">
        <v>646</v>
      </c>
      <c r="D22" s="21" t="s">
        <v>646</v>
      </c>
      <c r="E22" s="21" t="s">
        <v>646</v>
      </c>
      <c r="F22" s="21" t="s">
        <v>646</v>
      </c>
      <c r="G22" s="21" t="s">
        <v>646</v>
      </c>
      <c r="H22" s="21" t="s">
        <v>646</v>
      </c>
      <c r="I22" s="21" t="s">
        <v>646</v>
      </c>
      <c r="J22" s="21" t="s">
        <v>646</v>
      </c>
      <c r="K22" s="21" t="s">
        <v>646</v>
      </c>
      <c r="L22" s="21" t="s">
        <v>646</v>
      </c>
      <c r="M22" s="21" t="s">
        <v>646</v>
      </c>
    </row>
    <row r="23" spans="1:13" ht="28.5" customHeight="1" x14ac:dyDescent="0.3">
      <c r="A23" s="21" t="s">
        <v>646</v>
      </c>
      <c r="B23" s="21" t="s">
        <v>646</v>
      </c>
      <c r="C23" s="21" t="s">
        <v>646</v>
      </c>
      <c r="D23" s="21" t="s">
        <v>646</v>
      </c>
      <c r="E23" s="21" t="s">
        <v>646</v>
      </c>
      <c r="F23" s="21" t="s">
        <v>646</v>
      </c>
      <c r="G23" s="21" t="s">
        <v>646</v>
      </c>
      <c r="H23" s="21" t="s">
        <v>646</v>
      </c>
      <c r="I23" s="21" t="s">
        <v>646</v>
      </c>
      <c r="J23" s="21" t="s">
        <v>646</v>
      </c>
      <c r="K23" s="21" t="s">
        <v>646</v>
      </c>
      <c r="L23" s="21" t="s">
        <v>646</v>
      </c>
      <c r="M23" s="21" t="s">
        <v>646</v>
      </c>
    </row>
    <row r="24" spans="1:13" ht="28.5" customHeight="1" x14ac:dyDescent="0.3">
      <c r="A24" s="21" t="s">
        <v>646</v>
      </c>
      <c r="B24" s="21" t="s">
        <v>646</v>
      </c>
      <c r="C24" s="21" t="s">
        <v>646</v>
      </c>
      <c r="D24" s="21" t="s">
        <v>646</v>
      </c>
      <c r="E24" s="21" t="s">
        <v>646</v>
      </c>
      <c r="F24" s="21" t="s">
        <v>646</v>
      </c>
      <c r="G24" s="21" t="s">
        <v>646</v>
      </c>
      <c r="H24" s="21" t="s">
        <v>646</v>
      </c>
      <c r="I24" s="21" t="s">
        <v>646</v>
      </c>
      <c r="J24" s="21" t="s">
        <v>646</v>
      </c>
      <c r="K24" s="21" t="s">
        <v>646</v>
      </c>
      <c r="L24" s="21" t="s">
        <v>646</v>
      </c>
      <c r="M24" s="21" t="s">
        <v>646</v>
      </c>
    </row>
    <row r="25" spans="1:13" ht="28.5" customHeight="1" x14ac:dyDescent="0.3">
      <c r="A25" s="21" t="s">
        <v>646</v>
      </c>
      <c r="B25" s="21" t="s">
        <v>646</v>
      </c>
      <c r="C25" s="21" t="s">
        <v>646</v>
      </c>
      <c r="D25" s="21" t="s">
        <v>646</v>
      </c>
      <c r="E25" s="21" t="s">
        <v>646</v>
      </c>
      <c r="F25" s="21" t="s">
        <v>646</v>
      </c>
      <c r="G25" s="21" t="s">
        <v>646</v>
      </c>
      <c r="H25" s="21" t="s">
        <v>646</v>
      </c>
      <c r="I25" s="21" t="s">
        <v>646</v>
      </c>
      <c r="J25" s="21" t="s">
        <v>646</v>
      </c>
      <c r="K25" s="21" t="s">
        <v>646</v>
      </c>
      <c r="L25" s="21" t="s">
        <v>646</v>
      </c>
      <c r="M25" s="21" t="s">
        <v>646</v>
      </c>
    </row>
    <row r="26" spans="1:13" ht="28.5" customHeight="1" x14ac:dyDescent="0.3">
      <c r="A26" s="21" t="s">
        <v>646</v>
      </c>
      <c r="B26" s="21" t="s">
        <v>646</v>
      </c>
      <c r="C26" s="21" t="s">
        <v>646</v>
      </c>
      <c r="D26" s="21" t="s">
        <v>646</v>
      </c>
      <c r="E26" s="21" t="s">
        <v>646</v>
      </c>
      <c r="F26" s="21" t="s">
        <v>646</v>
      </c>
      <c r="G26" s="21" t="s">
        <v>646</v>
      </c>
      <c r="H26" s="21" t="s">
        <v>646</v>
      </c>
      <c r="I26" s="21" t="s">
        <v>646</v>
      </c>
      <c r="J26" s="21" t="s">
        <v>646</v>
      </c>
      <c r="K26" s="21" t="s">
        <v>646</v>
      </c>
      <c r="L26" s="21" t="s">
        <v>646</v>
      </c>
      <c r="M26" s="21" t="s">
        <v>646</v>
      </c>
    </row>
    <row r="27" spans="1:13" ht="28.5" customHeight="1" x14ac:dyDescent="0.3">
      <c r="A27" s="21" t="s">
        <v>646</v>
      </c>
      <c r="B27" s="21" t="s">
        <v>646</v>
      </c>
      <c r="C27" s="21" t="s">
        <v>646</v>
      </c>
      <c r="D27" s="21" t="s">
        <v>646</v>
      </c>
      <c r="E27" s="21" t="s">
        <v>646</v>
      </c>
      <c r="F27" s="21" t="s">
        <v>646</v>
      </c>
      <c r="G27" s="21" t="s">
        <v>646</v>
      </c>
      <c r="H27" s="21" t="s">
        <v>646</v>
      </c>
      <c r="I27" s="21" t="s">
        <v>646</v>
      </c>
      <c r="J27" s="21" t="s">
        <v>646</v>
      </c>
      <c r="K27" s="21" t="s">
        <v>646</v>
      </c>
      <c r="L27" s="21" t="s">
        <v>646</v>
      </c>
      <c r="M27" s="21" t="s">
        <v>646</v>
      </c>
    </row>
    <row r="28" spans="1:13" ht="28.5" customHeight="1" x14ac:dyDescent="0.3">
      <c r="A28" s="21" t="s">
        <v>646</v>
      </c>
      <c r="B28" s="21" t="s">
        <v>646</v>
      </c>
      <c r="C28" s="21" t="s">
        <v>646</v>
      </c>
      <c r="D28" s="21" t="s">
        <v>646</v>
      </c>
      <c r="E28" s="21" t="s">
        <v>646</v>
      </c>
      <c r="F28" s="21" t="s">
        <v>646</v>
      </c>
      <c r="G28" s="21" t="s">
        <v>646</v>
      </c>
      <c r="H28" s="21" t="s">
        <v>646</v>
      </c>
      <c r="I28" s="21" t="s">
        <v>646</v>
      </c>
      <c r="J28" s="21" t="s">
        <v>646</v>
      </c>
      <c r="K28" s="21" t="s">
        <v>646</v>
      </c>
      <c r="L28" s="21" t="s">
        <v>646</v>
      </c>
      <c r="M28" s="21" t="s">
        <v>646</v>
      </c>
    </row>
    <row r="29" spans="1:13" ht="28.5" customHeight="1" x14ac:dyDescent="0.3">
      <c r="A29" s="21" t="s">
        <v>401</v>
      </c>
      <c r="B29" s="21" t="s">
        <v>646</v>
      </c>
      <c r="C29" s="21" t="s">
        <v>646</v>
      </c>
      <c r="D29" s="21" t="s">
        <v>646</v>
      </c>
      <c r="E29" s="21" t="s">
        <v>646</v>
      </c>
      <c r="F29" s="9">
        <f>F5</f>
        <v>0</v>
      </c>
      <c r="G29" s="21" t="s">
        <v>646</v>
      </c>
      <c r="H29" s="9">
        <f>H5</f>
        <v>0</v>
      </c>
      <c r="I29" s="21" t="s">
        <v>646</v>
      </c>
      <c r="J29" s="9">
        <f>J5</f>
        <v>0</v>
      </c>
      <c r="K29" s="21" t="s">
        <v>646</v>
      </c>
      <c r="L29" s="9">
        <f>L5</f>
        <v>0</v>
      </c>
      <c r="M29" s="21" t="s">
        <v>646</v>
      </c>
    </row>
  </sheetData>
  <mergeCells count="11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15" type="noConversion"/>
  <pageMargins left="0.78740157480314954" right="0" top="0.39370078740157477" bottom="0.37735849056603776" header="0" footer="0"/>
  <pageSetup paperSize="9" scale="6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  <pageSetUpPr fitToPage="1"/>
  </sheetPr>
  <dimension ref="A1:AY202"/>
  <sheetViews>
    <sheetView view="pageBreakPreview" topLeftCell="G1" zoomScaleNormal="100" zoomScaleSheetLayoutView="100" workbookViewId="0">
      <selection activeCell="AY1" sqref="AY1:AY1048576"/>
    </sheetView>
  </sheetViews>
  <sheetFormatPr defaultColWidth="9.125"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8" width="9.125" hidden="1"/>
    <col min="50" max="50" width="3.75" customWidth="1"/>
    <col min="51" max="51" width="12.625" hidden="1" customWidth="1"/>
  </cols>
  <sheetData>
    <row r="1" spans="1:51" ht="30" customHeight="1" x14ac:dyDescent="0.3">
      <c r="A1" s="96" t="s">
        <v>703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</row>
    <row r="2" spans="1:51" ht="28.5" customHeight="1" x14ac:dyDescent="0.3">
      <c r="A2" s="97" t="str">
        <f>"[" &amp; 설계서용지!F7 &amp; "]"</f>
        <v>[공용 스마트 교육공간 인프라 구축 건축공사]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</row>
    <row r="3" spans="1:51" ht="28.5" customHeight="1" x14ac:dyDescent="0.3">
      <c r="A3" s="105" t="s">
        <v>512</v>
      </c>
      <c r="B3" s="105" t="s">
        <v>397</v>
      </c>
      <c r="C3" s="105" t="s">
        <v>59</v>
      </c>
      <c r="D3" s="105" t="s">
        <v>641</v>
      </c>
      <c r="E3" s="98" t="s">
        <v>76</v>
      </c>
      <c r="F3" s="100"/>
      <c r="G3" s="98" t="s">
        <v>385</v>
      </c>
      <c r="H3" s="100"/>
      <c r="I3" s="98" t="s">
        <v>219</v>
      </c>
      <c r="J3" s="100"/>
      <c r="K3" s="98" t="s">
        <v>490</v>
      </c>
      <c r="L3" s="100"/>
      <c r="M3" s="105" t="s">
        <v>605</v>
      </c>
      <c r="N3" s="107" t="s">
        <v>410</v>
      </c>
      <c r="O3" s="108" t="s">
        <v>163</v>
      </c>
      <c r="P3" s="108" t="s">
        <v>732</v>
      </c>
      <c r="Q3" s="108" t="s">
        <v>658</v>
      </c>
      <c r="R3" s="108" t="s">
        <v>340</v>
      </c>
      <c r="S3" s="108" t="s">
        <v>312</v>
      </c>
      <c r="T3" s="108" t="s">
        <v>352</v>
      </c>
      <c r="U3" s="108" t="s">
        <v>447</v>
      </c>
      <c r="V3" s="108" t="s">
        <v>568</v>
      </c>
      <c r="W3" s="108" t="s">
        <v>92</v>
      </c>
      <c r="X3" s="108" t="s">
        <v>134</v>
      </c>
      <c r="Y3" s="108" t="s">
        <v>583</v>
      </c>
      <c r="Z3" s="108" t="s">
        <v>167</v>
      </c>
      <c r="AA3" s="108" t="s">
        <v>545</v>
      </c>
      <c r="AB3" s="108" t="s">
        <v>460</v>
      </c>
      <c r="AC3" s="108" t="s">
        <v>243</v>
      </c>
      <c r="AD3" s="108" t="s">
        <v>561</v>
      </c>
      <c r="AE3" s="108" t="s">
        <v>451</v>
      </c>
      <c r="AF3" s="108" t="s">
        <v>661</v>
      </c>
      <c r="AG3" s="108" t="s">
        <v>403</v>
      </c>
      <c r="AH3" s="108" t="s">
        <v>316</v>
      </c>
      <c r="AI3" s="108" t="s">
        <v>225</v>
      </c>
      <c r="AJ3" s="108" t="s">
        <v>308</v>
      </c>
      <c r="AK3" s="108" t="s">
        <v>560</v>
      </c>
      <c r="AL3" s="108" t="s">
        <v>465</v>
      </c>
      <c r="AM3" s="108" t="s">
        <v>694</v>
      </c>
      <c r="AN3" s="108" t="s">
        <v>323</v>
      </c>
      <c r="AO3" s="108" t="s">
        <v>44</v>
      </c>
      <c r="AP3" s="108" t="s">
        <v>103</v>
      </c>
      <c r="AQ3" s="108" t="s">
        <v>378</v>
      </c>
      <c r="AR3" s="108" t="s">
        <v>635</v>
      </c>
      <c r="AS3" s="108" t="s">
        <v>566</v>
      </c>
      <c r="AT3" s="108" t="s">
        <v>540</v>
      </c>
      <c r="AU3" s="108" t="s">
        <v>272</v>
      </c>
      <c r="AV3" s="108" t="s">
        <v>649</v>
      </c>
    </row>
    <row r="4" spans="1:51" ht="28.5" customHeight="1" x14ac:dyDescent="0.3">
      <c r="A4" s="106"/>
      <c r="B4" s="106"/>
      <c r="C4" s="106"/>
      <c r="D4" s="106"/>
      <c r="E4" s="18" t="s">
        <v>768</v>
      </c>
      <c r="F4" s="18" t="s">
        <v>7</v>
      </c>
      <c r="G4" s="18" t="s">
        <v>768</v>
      </c>
      <c r="H4" s="18" t="s">
        <v>7</v>
      </c>
      <c r="I4" s="18" t="s">
        <v>768</v>
      </c>
      <c r="J4" s="18" t="s">
        <v>7</v>
      </c>
      <c r="K4" s="18" t="s">
        <v>768</v>
      </c>
      <c r="L4" s="18" t="s">
        <v>7</v>
      </c>
      <c r="M4" s="106"/>
      <c r="N4" s="107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8"/>
      <c r="AT4" s="108"/>
      <c r="AU4" s="108"/>
      <c r="AV4" s="108"/>
    </row>
    <row r="5" spans="1:51" ht="28.5" customHeight="1" x14ac:dyDescent="0.3">
      <c r="A5" s="7" t="s">
        <v>141</v>
      </c>
      <c r="B5" s="21"/>
      <c r="C5" s="21"/>
      <c r="D5" s="21" t="s">
        <v>646</v>
      </c>
      <c r="E5" s="21" t="s">
        <v>646</v>
      </c>
      <c r="F5" s="21" t="s">
        <v>646</v>
      </c>
      <c r="G5" s="21" t="s">
        <v>646</v>
      </c>
      <c r="H5" s="21" t="s">
        <v>646</v>
      </c>
      <c r="I5" s="21" t="s">
        <v>646</v>
      </c>
      <c r="J5" s="21" t="s">
        <v>646</v>
      </c>
      <c r="K5" s="21" t="s">
        <v>646</v>
      </c>
      <c r="L5" s="21" t="s">
        <v>646</v>
      </c>
      <c r="M5" s="21" t="s">
        <v>646</v>
      </c>
      <c r="N5" s="25" t="s">
        <v>646</v>
      </c>
      <c r="Q5" s="15" t="s">
        <v>54</v>
      </c>
      <c r="R5" s="20">
        <v>239729</v>
      </c>
      <c r="S5" s="20">
        <v>0</v>
      </c>
      <c r="AH5" s="15"/>
    </row>
    <row r="6" spans="1:51" ht="28.5" customHeight="1" x14ac:dyDescent="0.3">
      <c r="A6" s="21" t="s">
        <v>22</v>
      </c>
      <c r="B6" s="17" t="s">
        <v>46</v>
      </c>
      <c r="C6" s="21" t="s">
        <v>128</v>
      </c>
      <c r="D6" s="24">
        <v>286.77999999999997</v>
      </c>
      <c r="E6" s="11"/>
      <c r="F6" s="4"/>
      <c r="G6" s="11"/>
      <c r="H6" s="4"/>
      <c r="I6" s="11"/>
      <c r="J6" s="4"/>
      <c r="K6" s="11"/>
      <c r="L6" s="4"/>
      <c r="M6" s="17" t="s">
        <v>646</v>
      </c>
      <c r="N6" s="3" t="str">
        <f>HYPERLINK("#일위대가목록!A4", "IA0000000500")</f>
        <v>IA0000000500</v>
      </c>
      <c r="O6" s="15" t="s">
        <v>646</v>
      </c>
      <c r="P6" s="15" t="s">
        <v>646</v>
      </c>
      <c r="Q6" s="15" t="s">
        <v>54</v>
      </c>
      <c r="R6" s="20">
        <v>239729</v>
      </c>
      <c r="S6" s="20">
        <v>20</v>
      </c>
      <c r="T6" s="15" t="s">
        <v>657</v>
      </c>
      <c r="U6" s="15" t="s">
        <v>546</v>
      </c>
      <c r="V6" s="15" t="s">
        <v>546</v>
      </c>
      <c r="W6" s="15" t="s">
        <v>646</v>
      </c>
      <c r="X6" s="20">
        <v>0</v>
      </c>
      <c r="Y6" s="20">
        <v>0</v>
      </c>
      <c r="Z6" s="20">
        <v>0</v>
      </c>
      <c r="AA6" s="20">
        <v>0</v>
      </c>
      <c r="AB6" s="20">
        <v>0</v>
      </c>
      <c r="AC6" s="20">
        <v>0</v>
      </c>
      <c r="AD6" s="20">
        <v>0</v>
      </c>
      <c r="AE6" s="20">
        <v>0</v>
      </c>
      <c r="AF6" s="20">
        <v>0</v>
      </c>
      <c r="AG6" s="20">
        <v>0</v>
      </c>
      <c r="AH6" s="20">
        <v>0</v>
      </c>
      <c r="AI6" s="20">
        <v>2</v>
      </c>
      <c r="AJ6" s="20">
        <v>0</v>
      </c>
      <c r="AK6" s="20">
        <v>0</v>
      </c>
      <c r="AL6" s="20">
        <v>0</v>
      </c>
      <c r="AM6" s="20">
        <v>0</v>
      </c>
      <c r="AN6" s="20">
        <v>0</v>
      </c>
      <c r="AO6" s="20">
        <v>0</v>
      </c>
      <c r="AP6" s="20">
        <v>0</v>
      </c>
      <c r="AQ6" s="20">
        <v>0</v>
      </c>
      <c r="AR6" s="20">
        <v>0</v>
      </c>
      <c r="AS6" s="20">
        <v>0</v>
      </c>
      <c r="AT6" s="20">
        <v>0</v>
      </c>
      <c r="AU6" s="15" t="s">
        <v>646</v>
      </c>
      <c r="AV6" s="20">
        <v>100</v>
      </c>
      <c r="AX6" s="1" t="s">
        <v>646</v>
      </c>
      <c r="AY6" s="14" t="str">
        <f>HYPERLINK("#일위대가목록!A4", "▶바로가기")</f>
        <v>▶바로가기</v>
      </c>
    </row>
    <row r="7" spans="1:51" ht="28.5" customHeight="1" x14ac:dyDescent="0.3">
      <c r="A7" s="21" t="s">
        <v>689</v>
      </c>
      <c r="B7" s="17" t="s">
        <v>771</v>
      </c>
      <c r="C7" s="21" t="s">
        <v>128</v>
      </c>
      <c r="D7" s="24">
        <v>286.77999999999997</v>
      </c>
      <c r="E7" s="11"/>
      <c r="F7" s="4"/>
      <c r="G7" s="11"/>
      <c r="H7" s="4"/>
      <c r="I7" s="11"/>
      <c r="J7" s="4"/>
      <c r="K7" s="11"/>
      <c r="L7" s="4"/>
      <c r="M7" s="17" t="s">
        <v>646</v>
      </c>
      <c r="N7" s="3" t="str">
        <f>HYPERLINK("#일위대가목록!A5", "IA0000002000")</f>
        <v>IA0000002000</v>
      </c>
      <c r="O7" s="15" t="s">
        <v>646</v>
      </c>
      <c r="P7" s="15" t="s">
        <v>646</v>
      </c>
      <c r="Q7" s="15" t="s">
        <v>54</v>
      </c>
      <c r="R7" s="20">
        <v>239729</v>
      </c>
      <c r="S7" s="20">
        <v>30</v>
      </c>
      <c r="T7" s="15" t="s">
        <v>657</v>
      </c>
      <c r="U7" s="15" t="s">
        <v>546</v>
      </c>
      <c r="V7" s="15" t="s">
        <v>546</v>
      </c>
      <c r="W7" s="15" t="s">
        <v>646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20">
        <v>0</v>
      </c>
      <c r="AG7" s="20">
        <v>0</v>
      </c>
      <c r="AH7" s="20">
        <v>0</v>
      </c>
      <c r="AI7" s="20">
        <v>2</v>
      </c>
      <c r="AJ7" s="20">
        <v>0</v>
      </c>
      <c r="AK7" s="20">
        <v>0</v>
      </c>
      <c r="AL7" s="20">
        <v>0</v>
      </c>
      <c r="AM7" s="20">
        <v>0</v>
      </c>
      <c r="AN7" s="20">
        <v>0</v>
      </c>
      <c r="AO7" s="20">
        <v>0</v>
      </c>
      <c r="AP7" s="20">
        <v>0</v>
      </c>
      <c r="AQ7" s="20">
        <v>0</v>
      </c>
      <c r="AR7" s="20">
        <v>0</v>
      </c>
      <c r="AS7" s="20">
        <v>0</v>
      </c>
      <c r="AT7" s="20">
        <v>0</v>
      </c>
      <c r="AU7" s="15" t="s">
        <v>646</v>
      </c>
      <c r="AV7" s="20">
        <v>100</v>
      </c>
      <c r="AX7" s="1" t="s">
        <v>646</v>
      </c>
      <c r="AY7" s="14" t="str">
        <f>HYPERLINK("#일위대가목록!A5", "▶바로가기")</f>
        <v>▶바로가기</v>
      </c>
    </row>
    <row r="8" spans="1:51" ht="28.5" customHeight="1" x14ac:dyDescent="0.3">
      <c r="A8" s="21" t="s">
        <v>135</v>
      </c>
      <c r="B8" s="17" t="s">
        <v>785</v>
      </c>
      <c r="C8" s="21" t="s">
        <v>128</v>
      </c>
      <c r="D8" s="24">
        <v>6.8</v>
      </c>
      <c r="E8" s="11"/>
      <c r="F8" s="4"/>
      <c r="G8" s="11"/>
      <c r="H8" s="4"/>
      <c r="I8" s="11"/>
      <c r="J8" s="4"/>
      <c r="K8" s="11"/>
      <c r="L8" s="4"/>
      <c r="M8" s="17" t="s">
        <v>646</v>
      </c>
      <c r="N8" s="3" t="str">
        <f>HYPERLINK("#일위대가목록!A6", "IA0000003000")</f>
        <v>IA0000003000</v>
      </c>
      <c r="O8" s="15" t="s">
        <v>646</v>
      </c>
      <c r="P8" s="15" t="s">
        <v>646</v>
      </c>
      <c r="Q8" s="15" t="s">
        <v>54</v>
      </c>
      <c r="R8" s="20">
        <v>239729</v>
      </c>
      <c r="S8" s="20">
        <v>35</v>
      </c>
      <c r="T8" s="15" t="s">
        <v>657</v>
      </c>
      <c r="U8" s="15" t="s">
        <v>546</v>
      </c>
      <c r="V8" s="15" t="s">
        <v>546</v>
      </c>
      <c r="W8" s="15" t="s">
        <v>646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2</v>
      </c>
      <c r="AJ8" s="20">
        <v>0</v>
      </c>
      <c r="AK8" s="20">
        <v>0</v>
      </c>
      <c r="AL8" s="20">
        <v>0</v>
      </c>
      <c r="AM8" s="20">
        <v>0</v>
      </c>
      <c r="AN8" s="20">
        <v>0</v>
      </c>
      <c r="AO8" s="20">
        <v>0</v>
      </c>
      <c r="AP8" s="20">
        <v>0</v>
      </c>
      <c r="AQ8" s="20">
        <v>0</v>
      </c>
      <c r="AR8" s="20">
        <v>0</v>
      </c>
      <c r="AS8" s="20">
        <v>0</v>
      </c>
      <c r="AT8" s="20">
        <v>0</v>
      </c>
      <c r="AU8" s="15" t="s">
        <v>646</v>
      </c>
      <c r="AV8" s="20">
        <v>100</v>
      </c>
      <c r="AX8" s="1" t="s">
        <v>646</v>
      </c>
      <c r="AY8" s="14" t="str">
        <f>HYPERLINK("#일위대가목록!A6", "▶바로가기")</f>
        <v>▶바로가기</v>
      </c>
    </row>
    <row r="9" spans="1:51" ht="28.5" customHeight="1" x14ac:dyDescent="0.3">
      <c r="A9" s="21" t="s">
        <v>542</v>
      </c>
      <c r="B9" s="17" t="s">
        <v>298</v>
      </c>
      <c r="C9" s="21" t="s">
        <v>128</v>
      </c>
      <c r="D9" s="24">
        <v>286.77999999999997</v>
      </c>
      <c r="E9" s="11"/>
      <c r="F9" s="4"/>
      <c r="G9" s="11"/>
      <c r="H9" s="4"/>
      <c r="I9" s="11"/>
      <c r="J9" s="4"/>
      <c r="K9" s="11"/>
      <c r="L9" s="4"/>
      <c r="M9" s="17" t="s">
        <v>274</v>
      </c>
      <c r="N9" s="3" t="str">
        <f>HYPERLINK("#일위대가목록!A7", "IA0000003500")</f>
        <v>IA0000003500</v>
      </c>
      <c r="O9" s="15" t="s">
        <v>646</v>
      </c>
      <c r="P9" s="15" t="s">
        <v>646</v>
      </c>
      <c r="Q9" s="15" t="s">
        <v>54</v>
      </c>
      <c r="R9" s="20">
        <v>239729</v>
      </c>
      <c r="S9" s="20">
        <v>40</v>
      </c>
      <c r="T9" s="15" t="s">
        <v>657</v>
      </c>
      <c r="U9" s="15" t="s">
        <v>546</v>
      </c>
      <c r="V9" s="15" t="s">
        <v>546</v>
      </c>
      <c r="W9" s="15" t="s">
        <v>646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2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0</v>
      </c>
      <c r="AP9" s="20">
        <v>0</v>
      </c>
      <c r="AQ9" s="20">
        <v>0</v>
      </c>
      <c r="AR9" s="20">
        <v>0</v>
      </c>
      <c r="AS9" s="20">
        <v>0</v>
      </c>
      <c r="AT9" s="20">
        <v>0</v>
      </c>
      <c r="AU9" s="15" t="s">
        <v>646</v>
      </c>
      <c r="AV9" s="20">
        <v>100</v>
      </c>
      <c r="AX9" s="1" t="s">
        <v>646</v>
      </c>
      <c r="AY9" s="14" t="str">
        <f>HYPERLINK("#일위대가목록!A7", "▶바로가기")</f>
        <v>▶바로가기</v>
      </c>
    </row>
    <row r="10" spans="1:51" ht="28.5" customHeight="1" x14ac:dyDescent="0.3">
      <c r="A10" s="21" t="s">
        <v>646</v>
      </c>
      <c r="B10" s="21" t="s">
        <v>646</v>
      </c>
      <c r="C10" s="21" t="s">
        <v>646</v>
      </c>
      <c r="D10" s="4">
        <v>0</v>
      </c>
      <c r="E10" s="11"/>
      <c r="F10" s="4"/>
      <c r="G10" s="11"/>
      <c r="H10" s="4"/>
      <c r="I10" s="11"/>
      <c r="J10" s="4"/>
      <c r="K10" s="11"/>
      <c r="L10" s="4"/>
      <c r="M10" s="21" t="s">
        <v>646</v>
      </c>
      <c r="N10" s="21" t="s">
        <v>646</v>
      </c>
      <c r="O10" s="21" t="s">
        <v>646</v>
      </c>
      <c r="P10" s="21" t="s">
        <v>646</v>
      </c>
      <c r="AU10" s="15"/>
      <c r="AV10" s="20">
        <v>0</v>
      </c>
    </row>
    <row r="11" spans="1:51" ht="28.5" customHeight="1" x14ac:dyDescent="0.3">
      <c r="A11" s="21" t="s">
        <v>646</v>
      </c>
      <c r="B11" s="21" t="s">
        <v>646</v>
      </c>
      <c r="C11" s="21" t="s">
        <v>646</v>
      </c>
      <c r="D11" s="4">
        <v>0</v>
      </c>
      <c r="E11" s="11"/>
      <c r="F11" s="4"/>
      <c r="G11" s="11"/>
      <c r="H11" s="4"/>
      <c r="I11" s="11"/>
      <c r="J11" s="4"/>
      <c r="K11" s="11"/>
      <c r="L11" s="4"/>
      <c r="M11" s="21" t="s">
        <v>646</v>
      </c>
      <c r="N11" s="21" t="s">
        <v>646</v>
      </c>
      <c r="O11" s="21" t="s">
        <v>646</v>
      </c>
      <c r="P11" s="21" t="s">
        <v>646</v>
      </c>
      <c r="AU11" s="15"/>
      <c r="AV11" s="20">
        <v>0</v>
      </c>
    </row>
    <row r="12" spans="1:51" ht="28.5" customHeight="1" x14ac:dyDescent="0.3">
      <c r="A12" s="21" t="s">
        <v>646</v>
      </c>
      <c r="B12" s="21" t="s">
        <v>646</v>
      </c>
      <c r="C12" s="21" t="s">
        <v>646</v>
      </c>
      <c r="D12" s="4">
        <v>0</v>
      </c>
      <c r="E12" s="11"/>
      <c r="F12" s="4"/>
      <c r="G12" s="11"/>
      <c r="H12" s="4"/>
      <c r="I12" s="11"/>
      <c r="J12" s="4"/>
      <c r="K12" s="11"/>
      <c r="L12" s="4"/>
      <c r="M12" s="21" t="s">
        <v>646</v>
      </c>
      <c r="N12" s="21" t="s">
        <v>646</v>
      </c>
      <c r="O12" s="21" t="s">
        <v>646</v>
      </c>
      <c r="P12" s="21" t="s">
        <v>646</v>
      </c>
      <c r="AU12" s="15"/>
      <c r="AV12" s="20">
        <v>0</v>
      </c>
    </row>
    <row r="13" spans="1:51" ht="28.5" customHeight="1" x14ac:dyDescent="0.3">
      <c r="A13" s="21" t="s">
        <v>646</v>
      </c>
      <c r="B13" s="21" t="s">
        <v>646</v>
      </c>
      <c r="C13" s="21" t="s">
        <v>646</v>
      </c>
      <c r="D13" s="4">
        <v>0</v>
      </c>
      <c r="E13" s="11"/>
      <c r="F13" s="4"/>
      <c r="G13" s="11"/>
      <c r="H13" s="4"/>
      <c r="I13" s="11"/>
      <c r="J13" s="4"/>
      <c r="K13" s="11"/>
      <c r="L13" s="4"/>
      <c r="M13" s="21" t="s">
        <v>646</v>
      </c>
      <c r="N13" s="21" t="s">
        <v>646</v>
      </c>
      <c r="O13" s="21" t="s">
        <v>646</v>
      </c>
      <c r="P13" s="21" t="s">
        <v>646</v>
      </c>
      <c r="AU13" s="15"/>
      <c r="AV13" s="20">
        <v>0</v>
      </c>
    </row>
    <row r="14" spans="1:51" ht="28.5" customHeight="1" x14ac:dyDescent="0.3">
      <c r="A14" s="21" t="s">
        <v>646</v>
      </c>
      <c r="B14" s="21" t="s">
        <v>646</v>
      </c>
      <c r="C14" s="21" t="s">
        <v>646</v>
      </c>
      <c r="D14" s="4">
        <v>0</v>
      </c>
      <c r="E14" s="11"/>
      <c r="F14" s="4"/>
      <c r="G14" s="11"/>
      <c r="H14" s="4"/>
      <c r="I14" s="11"/>
      <c r="J14" s="4"/>
      <c r="K14" s="11"/>
      <c r="L14" s="4"/>
      <c r="M14" s="21" t="s">
        <v>646</v>
      </c>
      <c r="N14" s="21" t="s">
        <v>646</v>
      </c>
      <c r="O14" s="21" t="s">
        <v>646</v>
      </c>
      <c r="P14" s="21" t="s">
        <v>646</v>
      </c>
      <c r="AU14" s="15"/>
      <c r="AV14" s="20">
        <v>0</v>
      </c>
    </row>
    <row r="15" spans="1:51" ht="28.5" customHeight="1" x14ac:dyDescent="0.3">
      <c r="A15" s="21" t="s">
        <v>646</v>
      </c>
      <c r="B15" s="21" t="s">
        <v>646</v>
      </c>
      <c r="C15" s="21" t="s">
        <v>646</v>
      </c>
      <c r="D15" s="4">
        <v>0</v>
      </c>
      <c r="E15" s="11"/>
      <c r="F15" s="4"/>
      <c r="G15" s="11"/>
      <c r="H15" s="4"/>
      <c r="I15" s="11"/>
      <c r="J15" s="4"/>
      <c r="K15" s="11"/>
      <c r="L15" s="4"/>
      <c r="M15" s="21" t="s">
        <v>646</v>
      </c>
      <c r="N15" s="21" t="s">
        <v>646</v>
      </c>
      <c r="O15" s="21" t="s">
        <v>646</v>
      </c>
      <c r="P15" s="21" t="s">
        <v>646</v>
      </c>
      <c r="AU15" s="15"/>
      <c r="AV15" s="20">
        <v>0</v>
      </c>
    </row>
    <row r="16" spans="1:51" ht="28.5" customHeight="1" x14ac:dyDescent="0.3">
      <c r="A16" s="21" t="s">
        <v>646</v>
      </c>
      <c r="B16" s="21" t="s">
        <v>646</v>
      </c>
      <c r="C16" s="21" t="s">
        <v>646</v>
      </c>
      <c r="D16" s="4">
        <v>0</v>
      </c>
      <c r="E16" s="11"/>
      <c r="F16" s="4"/>
      <c r="G16" s="11"/>
      <c r="H16" s="4"/>
      <c r="I16" s="11"/>
      <c r="J16" s="4"/>
      <c r="K16" s="11"/>
      <c r="L16" s="4"/>
      <c r="M16" s="21" t="s">
        <v>646</v>
      </c>
      <c r="N16" s="21" t="s">
        <v>646</v>
      </c>
      <c r="O16" s="21" t="s">
        <v>646</v>
      </c>
      <c r="P16" s="21" t="s">
        <v>646</v>
      </c>
      <c r="AU16" s="15"/>
      <c r="AV16" s="20">
        <v>0</v>
      </c>
    </row>
    <row r="17" spans="1:51" ht="28.5" customHeight="1" x14ac:dyDescent="0.3">
      <c r="A17" s="21" t="s">
        <v>646</v>
      </c>
      <c r="B17" s="21" t="s">
        <v>646</v>
      </c>
      <c r="C17" s="21" t="s">
        <v>646</v>
      </c>
      <c r="D17" s="4">
        <v>0</v>
      </c>
      <c r="E17" s="11"/>
      <c r="F17" s="4"/>
      <c r="G17" s="11"/>
      <c r="H17" s="4"/>
      <c r="I17" s="11"/>
      <c r="J17" s="4"/>
      <c r="K17" s="11"/>
      <c r="L17" s="4"/>
      <c r="M17" s="21" t="s">
        <v>646</v>
      </c>
      <c r="N17" s="21" t="s">
        <v>646</v>
      </c>
      <c r="O17" s="21" t="s">
        <v>646</v>
      </c>
      <c r="P17" s="21" t="s">
        <v>646</v>
      </c>
      <c r="AU17" s="15"/>
      <c r="AV17" s="20">
        <v>0</v>
      </c>
    </row>
    <row r="18" spans="1:51" ht="28.5" customHeight="1" x14ac:dyDescent="0.3">
      <c r="A18" s="21" t="s">
        <v>646</v>
      </c>
      <c r="B18" s="21" t="s">
        <v>646</v>
      </c>
      <c r="C18" s="21" t="s">
        <v>646</v>
      </c>
      <c r="D18" s="4">
        <v>0</v>
      </c>
      <c r="E18" s="11"/>
      <c r="F18" s="4"/>
      <c r="G18" s="11"/>
      <c r="H18" s="4"/>
      <c r="I18" s="11"/>
      <c r="J18" s="4"/>
      <c r="K18" s="11"/>
      <c r="L18" s="4"/>
      <c r="M18" s="21" t="s">
        <v>646</v>
      </c>
      <c r="N18" s="21" t="s">
        <v>646</v>
      </c>
      <c r="O18" s="21" t="s">
        <v>646</v>
      </c>
      <c r="P18" s="21" t="s">
        <v>646</v>
      </c>
      <c r="AU18" s="15"/>
      <c r="AV18" s="20">
        <v>0</v>
      </c>
    </row>
    <row r="19" spans="1:51" ht="28.5" customHeight="1" x14ac:dyDescent="0.3">
      <c r="A19" s="21" t="s">
        <v>646</v>
      </c>
      <c r="B19" s="21" t="s">
        <v>646</v>
      </c>
      <c r="C19" s="21" t="s">
        <v>646</v>
      </c>
      <c r="D19" s="4">
        <v>0</v>
      </c>
      <c r="E19" s="11"/>
      <c r="F19" s="4"/>
      <c r="G19" s="11"/>
      <c r="H19" s="4"/>
      <c r="I19" s="11"/>
      <c r="J19" s="4"/>
      <c r="K19" s="11"/>
      <c r="L19" s="4"/>
      <c r="M19" s="21" t="s">
        <v>646</v>
      </c>
      <c r="N19" s="21" t="s">
        <v>646</v>
      </c>
      <c r="O19" s="21" t="s">
        <v>646</v>
      </c>
      <c r="P19" s="21" t="s">
        <v>646</v>
      </c>
      <c r="AU19" s="15"/>
      <c r="AV19" s="20">
        <v>0</v>
      </c>
    </row>
    <row r="20" spans="1:51" ht="28.5" customHeight="1" x14ac:dyDescent="0.3">
      <c r="A20" s="21" t="s">
        <v>646</v>
      </c>
      <c r="B20" s="21" t="s">
        <v>646</v>
      </c>
      <c r="C20" s="21" t="s">
        <v>646</v>
      </c>
      <c r="D20" s="4">
        <v>0</v>
      </c>
      <c r="E20" s="11"/>
      <c r="F20" s="4"/>
      <c r="G20" s="11"/>
      <c r="H20" s="4"/>
      <c r="I20" s="11"/>
      <c r="J20" s="4"/>
      <c r="K20" s="11"/>
      <c r="L20" s="4"/>
      <c r="M20" s="21" t="s">
        <v>646</v>
      </c>
      <c r="N20" s="21" t="s">
        <v>646</v>
      </c>
      <c r="O20" s="21" t="s">
        <v>646</v>
      </c>
      <c r="P20" s="21" t="s">
        <v>646</v>
      </c>
      <c r="AU20" s="15"/>
      <c r="AV20" s="20">
        <v>0</v>
      </c>
    </row>
    <row r="21" spans="1:51" ht="28.5" customHeight="1" x14ac:dyDescent="0.3">
      <c r="A21" s="21" t="s">
        <v>646</v>
      </c>
      <c r="B21" s="21" t="s">
        <v>646</v>
      </c>
      <c r="C21" s="21" t="s">
        <v>646</v>
      </c>
      <c r="D21" s="4">
        <v>0</v>
      </c>
      <c r="E21" s="11"/>
      <c r="F21" s="4"/>
      <c r="G21" s="11"/>
      <c r="H21" s="4"/>
      <c r="I21" s="11"/>
      <c r="J21" s="4"/>
      <c r="K21" s="11"/>
      <c r="L21" s="4"/>
      <c r="M21" s="21" t="s">
        <v>646</v>
      </c>
      <c r="N21" s="21" t="s">
        <v>646</v>
      </c>
      <c r="O21" s="21" t="s">
        <v>646</v>
      </c>
      <c r="P21" s="21" t="s">
        <v>646</v>
      </c>
      <c r="AU21" s="15"/>
      <c r="AV21" s="20">
        <v>0</v>
      </c>
    </row>
    <row r="22" spans="1:51" ht="28.5" customHeight="1" x14ac:dyDescent="0.3">
      <c r="A22" s="21" t="s">
        <v>646</v>
      </c>
      <c r="B22" s="21" t="s">
        <v>646</v>
      </c>
      <c r="C22" s="21" t="s">
        <v>646</v>
      </c>
      <c r="D22" s="4">
        <v>0</v>
      </c>
      <c r="E22" s="11"/>
      <c r="F22" s="4"/>
      <c r="G22" s="11"/>
      <c r="H22" s="4"/>
      <c r="I22" s="11"/>
      <c r="J22" s="4"/>
      <c r="K22" s="11"/>
      <c r="L22" s="4"/>
      <c r="M22" s="21" t="s">
        <v>646</v>
      </c>
      <c r="N22" s="21" t="s">
        <v>646</v>
      </c>
      <c r="O22" s="21" t="s">
        <v>646</v>
      </c>
      <c r="P22" s="21" t="s">
        <v>646</v>
      </c>
      <c r="AU22" s="15"/>
      <c r="AV22" s="20">
        <v>0</v>
      </c>
    </row>
    <row r="23" spans="1:51" ht="28.5" customHeight="1" x14ac:dyDescent="0.3">
      <c r="A23" s="21" t="s">
        <v>646</v>
      </c>
      <c r="B23" s="21" t="s">
        <v>646</v>
      </c>
      <c r="C23" s="21" t="s">
        <v>646</v>
      </c>
      <c r="D23" s="4">
        <v>0</v>
      </c>
      <c r="E23" s="11"/>
      <c r="F23" s="4"/>
      <c r="G23" s="11"/>
      <c r="H23" s="4"/>
      <c r="I23" s="11"/>
      <c r="J23" s="4"/>
      <c r="K23" s="11"/>
      <c r="L23" s="4"/>
      <c r="M23" s="21" t="s">
        <v>646</v>
      </c>
      <c r="N23" s="21" t="s">
        <v>646</v>
      </c>
      <c r="O23" s="21" t="s">
        <v>646</v>
      </c>
      <c r="P23" s="21" t="s">
        <v>646</v>
      </c>
      <c r="AU23" s="15"/>
      <c r="AV23" s="20">
        <v>0</v>
      </c>
    </row>
    <row r="24" spans="1:51" ht="28.5" customHeight="1" x14ac:dyDescent="0.3">
      <c r="A24" s="21" t="s">
        <v>646</v>
      </c>
      <c r="B24" s="21" t="s">
        <v>646</v>
      </c>
      <c r="C24" s="21" t="s">
        <v>646</v>
      </c>
      <c r="D24" s="4">
        <v>0</v>
      </c>
      <c r="E24" s="11"/>
      <c r="F24" s="4"/>
      <c r="G24" s="11"/>
      <c r="H24" s="4"/>
      <c r="I24" s="11"/>
      <c r="J24" s="4"/>
      <c r="K24" s="11"/>
      <c r="L24" s="4"/>
      <c r="M24" s="21" t="s">
        <v>646</v>
      </c>
      <c r="N24" s="21" t="s">
        <v>646</v>
      </c>
      <c r="O24" s="21" t="s">
        <v>646</v>
      </c>
      <c r="P24" s="21" t="s">
        <v>646</v>
      </c>
      <c r="AU24" s="15"/>
      <c r="AV24" s="20">
        <v>0</v>
      </c>
    </row>
    <row r="25" spans="1:51" ht="28.5" customHeight="1" x14ac:dyDescent="0.3">
      <c r="A25" s="21" t="s">
        <v>646</v>
      </c>
      <c r="B25" s="21" t="s">
        <v>646</v>
      </c>
      <c r="C25" s="21" t="s">
        <v>646</v>
      </c>
      <c r="D25" s="4">
        <v>0</v>
      </c>
      <c r="E25" s="11"/>
      <c r="F25" s="4"/>
      <c r="G25" s="11"/>
      <c r="H25" s="4"/>
      <c r="I25" s="11"/>
      <c r="J25" s="4"/>
      <c r="K25" s="11"/>
      <c r="L25" s="4"/>
      <c r="M25" s="21" t="s">
        <v>646</v>
      </c>
      <c r="N25" s="21" t="s">
        <v>646</v>
      </c>
      <c r="O25" s="21" t="s">
        <v>646</v>
      </c>
      <c r="P25" s="21" t="s">
        <v>646</v>
      </c>
      <c r="AU25" s="15"/>
      <c r="AV25" s="20">
        <v>0</v>
      </c>
    </row>
    <row r="26" spans="1:51" ht="28.5" customHeight="1" x14ac:dyDescent="0.3">
      <c r="A26" s="21" t="s">
        <v>401</v>
      </c>
      <c r="B26" s="21" t="s">
        <v>646</v>
      </c>
      <c r="C26" s="21" t="s">
        <v>646</v>
      </c>
      <c r="D26" s="21" t="s">
        <v>646</v>
      </c>
      <c r="E26" s="2"/>
      <c r="F26" s="4"/>
      <c r="G26" s="4"/>
      <c r="H26" s="4"/>
      <c r="I26" s="4"/>
      <c r="J26" s="4"/>
      <c r="K26" s="10"/>
      <c r="L26" s="4"/>
      <c r="M26" s="21"/>
    </row>
    <row r="27" spans="1:51" ht="28.5" customHeight="1" x14ac:dyDescent="0.3">
      <c r="A27" s="7" t="s">
        <v>673</v>
      </c>
      <c r="B27" s="21"/>
      <c r="C27" s="21"/>
      <c r="D27" s="21" t="s">
        <v>646</v>
      </c>
      <c r="E27" s="21"/>
      <c r="F27" s="21"/>
      <c r="G27" s="21"/>
      <c r="H27" s="21"/>
      <c r="I27" s="21"/>
      <c r="J27" s="21"/>
      <c r="K27" s="21"/>
      <c r="L27" s="21"/>
      <c r="M27" s="21" t="s">
        <v>646</v>
      </c>
      <c r="N27" s="25" t="s">
        <v>646</v>
      </c>
      <c r="Q27" s="15" t="s">
        <v>341</v>
      </c>
      <c r="R27" s="20">
        <v>385632</v>
      </c>
      <c r="S27" s="20">
        <v>0</v>
      </c>
      <c r="AH27" s="15"/>
    </row>
    <row r="28" spans="1:51" ht="28.5" customHeight="1" x14ac:dyDescent="0.3">
      <c r="A28" s="21" t="s">
        <v>638</v>
      </c>
      <c r="B28" s="17" t="s">
        <v>646</v>
      </c>
      <c r="C28" s="21" t="s">
        <v>128</v>
      </c>
      <c r="D28" s="24">
        <v>6</v>
      </c>
      <c r="E28" s="11"/>
      <c r="F28" s="4"/>
      <c r="G28" s="11"/>
      <c r="H28" s="4"/>
      <c r="I28" s="11"/>
      <c r="J28" s="4"/>
      <c r="K28" s="11"/>
      <c r="L28" s="4"/>
      <c r="M28" s="17" t="s">
        <v>646</v>
      </c>
      <c r="N28" s="3" t="str">
        <f>HYPERLINK("#일위대가목록!A8", "IB0000003400")</f>
        <v>IB0000003400</v>
      </c>
      <c r="O28" s="15" t="s">
        <v>646</v>
      </c>
      <c r="P28" s="15" t="s">
        <v>646</v>
      </c>
      <c r="Q28" s="15" t="s">
        <v>341</v>
      </c>
      <c r="R28" s="20">
        <v>385632</v>
      </c>
      <c r="S28" s="20">
        <v>10</v>
      </c>
      <c r="T28" s="15" t="s">
        <v>657</v>
      </c>
      <c r="U28" s="15" t="s">
        <v>546</v>
      </c>
      <c r="V28" s="15" t="s">
        <v>546</v>
      </c>
      <c r="W28" s="15" t="s">
        <v>646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3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0">
        <v>0</v>
      </c>
      <c r="AT28" s="20">
        <v>0</v>
      </c>
      <c r="AU28" s="15" t="s">
        <v>646</v>
      </c>
      <c r="AV28" s="20">
        <v>100</v>
      </c>
      <c r="AX28" s="1" t="s">
        <v>646</v>
      </c>
      <c r="AY28" s="14" t="str">
        <f>HYPERLINK("#일위대가목록!A8", "▶바로가기")</f>
        <v>▶바로가기</v>
      </c>
    </row>
    <row r="29" spans="1:51" ht="28.5" customHeight="1" x14ac:dyDescent="0.3">
      <c r="A29" s="21" t="s">
        <v>596</v>
      </c>
      <c r="B29" s="17" t="s">
        <v>282</v>
      </c>
      <c r="C29" s="21" t="s">
        <v>128</v>
      </c>
      <c r="D29" s="24">
        <v>11.52</v>
      </c>
      <c r="E29" s="11"/>
      <c r="F29" s="4"/>
      <c r="G29" s="11"/>
      <c r="H29" s="4"/>
      <c r="I29" s="11"/>
      <c r="J29" s="4"/>
      <c r="K29" s="11"/>
      <c r="L29" s="4"/>
      <c r="M29" s="17" t="s">
        <v>646</v>
      </c>
      <c r="N29" s="3" t="str">
        <f>HYPERLINK("#일위대가목록!A9", "IB0000004100")</f>
        <v>IB0000004100</v>
      </c>
      <c r="O29" s="15" t="s">
        <v>646</v>
      </c>
      <c r="P29" s="15" t="s">
        <v>646</v>
      </c>
      <c r="Q29" s="15" t="s">
        <v>341</v>
      </c>
      <c r="R29" s="20">
        <v>385632</v>
      </c>
      <c r="S29" s="20">
        <v>20</v>
      </c>
      <c r="T29" s="15" t="s">
        <v>657</v>
      </c>
      <c r="U29" s="15" t="s">
        <v>546</v>
      </c>
      <c r="V29" s="15" t="s">
        <v>546</v>
      </c>
      <c r="W29" s="15" t="s">
        <v>646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3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20">
        <v>0</v>
      </c>
      <c r="AU29" s="15" t="s">
        <v>646</v>
      </c>
      <c r="AV29" s="20">
        <v>100</v>
      </c>
      <c r="AX29" s="1" t="s">
        <v>646</v>
      </c>
      <c r="AY29" s="14" t="str">
        <f>HYPERLINK("#일위대가목록!A9", "▶바로가기")</f>
        <v>▶바로가기</v>
      </c>
    </row>
    <row r="30" spans="1:51" ht="28.5" customHeight="1" x14ac:dyDescent="0.3">
      <c r="A30" s="21" t="s">
        <v>11</v>
      </c>
      <c r="B30" s="17" t="s">
        <v>646</v>
      </c>
      <c r="C30" s="21" t="s">
        <v>128</v>
      </c>
      <c r="D30" s="24">
        <v>2.13</v>
      </c>
      <c r="E30" s="11"/>
      <c r="F30" s="4"/>
      <c r="G30" s="11"/>
      <c r="H30" s="4"/>
      <c r="I30" s="11"/>
      <c r="J30" s="4"/>
      <c r="K30" s="11"/>
      <c r="L30" s="4"/>
      <c r="M30" s="17" t="s">
        <v>646</v>
      </c>
      <c r="N30" s="3" t="str">
        <f>HYPERLINK("#일위대가목록!A10", "IB0000004600")</f>
        <v>IB0000004600</v>
      </c>
      <c r="O30" s="15" t="s">
        <v>646</v>
      </c>
      <c r="P30" s="15" t="s">
        <v>646</v>
      </c>
      <c r="Q30" s="15" t="s">
        <v>341</v>
      </c>
      <c r="R30" s="20">
        <v>385632</v>
      </c>
      <c r="S30" s="20">
        <v>30</v>
      </c>
      <c r="T30" s="15" t="s">
        <v>657</v>
      </c>
      <c r="U30" s="15" t="s">
        <v>546</v>
      </c>
      <c r="V30" s="15" t="s">
        <v>546</v>
      </c>
      <c r="W30" s="15" t="s">
        <v>646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3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  <c r="AR30" s="20">
        <v>0</v>
      </c>
      <c r="AS30" s="20">
        <v>0</v>
      </c>
      <c r="AT30" s="20">
        <v>0</v>
      </c>
      <c r="AU30" s="15" t="s">
        <v>646</v>
      </c>
      <c r="AV30" s="20">
        <v>100</v>
      </c>
      <c r="AX30" s="1" t="s">
        <v>646</v>
      </c>
      <c r="AY30" s="14" t="str">
        <f>HYPERLINK("#일위대가목록!A10", "▶바로가기")</f>
        <v>▶바로가기</v>
      </c>
    </row>
    <row r="31" spans="1:51" ht="28.5" customHeight="1" x14ac:dyDescent="0.3">
      <c r="A31" s="21" t="s">
        <v>168</v>
      </c>
      <c r="B31" s="17" t="s">
        <v>203</v>
      </c>
      <c r="C31" s="21" t="s">
        <v>229</v>
      </c>
      <c r="D31" s="24">
        <v>9.1999999999999993</v>
      </c>
      <c r="E31" s="11"/>
      <c r="F31" s="4"/>
      <c r="G31" s="11"/>
      <c r="H31" s="4"/>
      <c r="I31" s="11"/>
      <c r="J31" s="4"/>
      <c r="K31" s="11"/>
      <c r="L31" s="4"/>
      <c r="M31" s="17" t="s">
        <v>646</v>
      </c>
      <c r="N31" s="3" t="str">
        <f>HYPERLINK("#일위대가목록!A11", "IB0000005500")</f>
        <v>IB0000005500</v>
      </c>
      <c r="O31" s="15" t="s">
        <v>646</v>
      </c>
      <c r="P31" s="15" t="s">
        <v>646</v>
      </c>
      <c r="Q31" s="15" t="s">
        <v>341</v>
      </c>
      <c r="R31" s="20">
        <v>385632</v>
      </c>
      <c r="S31" s="20">
        <v>40</v>
      </c>
      <c r="T31" s="15" t="s">
        <v>657</v>
      </c>
      <c r="U31" s="15" t="s">
        <v>546</v>
      </c>
      <c r="V31" s="15" t="s">
        <v>546</v>
      </c>
      <c r="W31" s="15" t="s">
        <v>646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3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20">
        <v>0</v>
      </c>
      <c r="AU31" s="15" t="s">
        <v>646</v>
      </c>
      <c r="AV31" s="20">
        <v>100</v>
      </c>
      <c r="AX31" s="1" t="s">
        <v>646</v>
      </c>
      <c r="AY31" s="14" t="str">
        <f>HYPERLINK("#일위대가목록!A11", "▶바로가기")</f>
        <v>▶바로가기</v>
      </c>
    </row>
    <row r="32" spans="1:51" ht="28.5" customHeight="1" x14ac:dyDescent="0.3">
      <c r="A32" s="21" t="s">
        <v>508</v>
      </c>
      <c r="B32" s="17" t="s">
        <v>577</v>
      </c>
      <c r="C32" s="21" t="s">
        <v>128</v>
      </c>
      <c r="D32" s="24">
        <v>1.2</v>
      </c>
      <c r="E32" s="11"/>
      <c r="F32" s="4"/>
      <c r="G32" s="11"/>
      <c r="H32" s="4"/>
      <c r="I32" s="11"/>
      <c r="J32" s="4"/>
      <c r="K32" s="11"/>
      <c r="L32" s="4"/>
      <c r="M32" s="17" t="s">
        <v>646</v>
      </c>
      <c r="N32" s="3" t="str">
        <f>HYPERLINK("#일위대가목록!A12", "IB0000005200")</f>
        <v>IB0000005200</v>
      </c>
      <c r="O32" s="15" t="s">
        <v>646</v>
      </c>
      <c r="P32" s="15" t="s">
        <v>646</v>
      </c>
      <c r="Q32" s="15" t="s">
        <v>341</v>
      </c>
      <c r="R32" s="20">
        <v>385632</v>
      </c>
      <c r="S32" s="20">
        <v>50</v>
      </c>
      <c r="T32" s="15" t="s">
        <v>657</v>
      </c>
      <c r="U32" s="15" t="s">
        <v>546</v>
      </c>
      <c r="V32" s="15" t="s">
        <v>546</v>
      </c>
      <c r="W32" s="15" t="s">
        <v>646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3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0">
        <v>0</v>
      </c>
      <c r="AR32" s="20">
        <v>0</v>
      </c>
      <c r="AS32" s="20">
        <v>0</v>
      </c>
      <c r="AT32" s="20">
        <v>0</v>
      </c>
      <c r="AU32" s="15" t="s">
        <v>646</v>
      </c>
      <c r="AV32" s="20">
        <v>100</v>
      </c>
      <c r="AX32" s="1" t="s">
        <v>646</v>
      </c>
      <c r="AY32" s="14" t="str">
        <f>HYPERLINK("#일위대가목록!A12", "▶바로가기")</f>
        <v>▶바로가기</v>
      </c>
    </row>
    <row r="33" spans="1:51" ht="28.5" customHeight="1" x14ac:dyDescent="0.3">
      <c r="A33" s="21" t="s">
        <v>529</v>
      </c>
      <c r="B33" s="17" t="s">
        <v>646</v>
      </c>
      <c r="C33" s="21" t="s">
        <v>128</v>
      </c>
      <c r="D33" s="24">
        <v>263</v>
      </c>
      <c r="E33" s="11"/>
      <c r="F33" s="4"/>
      <c r="G33" s="11"/>
      <c r="H33" s="4"/>
      <c r="I33" s="11"/>
      <c r="J33" s="4"/>
      <c r="K33" s="11"/>
      <c r="L33" s="4"/>
      <c r="M33" s="17" t="s">
        <v>646</v>
      </c>
      <c r="N33" s="3" t="str">
        <f>HYPERLINK("#일위대가목록!A13", "SF0330002100")</f>
        <v>SF0330002100</v>
      </c>
      <c r="O33" s="15" t="s">
        <v>646</v>
      </c>
      <c r="P33" s="15" t="s">
        <v>646</v>
      </c>
      <c r="Q33" s="15" t="s">
        <v>341</v>
      </c>
      <c r="R33" s="20">
        <v>385632</v>
      </c>
      <c r="S33" s="20">
        <v>52</v>
      </c>
      <c r="T33" s="15" t="s">
        <v>657</v>
      </c>
      <c r="U33" s="15" t="s">
        <v>546</v>
      </c>
      <c r="V33" s="15" t="s">
        <v>546</v>
      </c>
      <c r="W33" s="15" t="s">
        <v>646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3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0</v>
      </c>
      <c r="AQ33" s="20">
        <v>0</v>
      </c>
      <c r="AR33" s="20">
        <v>0</v>
      </c>
      <c r="AS33" s="20">
        <v>0</v>
      </c>
      <c r="AT33" s="20">
        <v>0</v>
      </c>
      <c r="AU33" s="15" t="s">
        <v>646</v>
      </c>
      <c r="AV33" s="20">
        <v>100</v>
      </c>
      <c r="AX33" s="1" t="s">
        <v>646</v>
      </c>
      <c r="AY33" s="14" t="str">
        <f>HYPERLINK("#일위대가목록!A13", "▶바로가기")</f>
        <v>▶바로가기</v>
      </c>
    </row>
    <row r="34" spans="1:51" ht="28.5" customHeight="1" x14ac:dyDescent="0.3">
      <c r="A34" s="21" t="s">
        <v>153</v>
      </c>
      <c r="B34" s="17" t="s">
        <v>483</v>
      </c>
      <c r="C34" s="21" t="s">
        <v>128</v>
      </c>
      <c r="D34" s="24">
        <v>263</v>
      </c>
      <c r="E34" s="11"/>
      <c r="F34" s="4"/>
      <c r="G34" s="11"/>
      <c r="H34" s="4"/>
      <c r="I34" s="11"/>
      <c r="J34" s="4"/>
      <c r="K34" s="11"/>
      <c r="L34" s="4"/>
      <c r="M34" s="17" t="s">
        <v>646</v>
      </c>
      <c r="N34" s="3" t="str">
        <f>HYPERLINK("#일위대가목록!A14", "IB0000003900")</f>
        <v>IB0000003900</v>
      </c>
      <c r="O34" s="15" t="s">
        <v>646</v>
      </c>
      <c r="P34" s="15" t="s">
        <v>646</v>
      </c>
      <c r="Q34" s="15" t="s">
        <v>341</v>
      </c>
      <c r="R34" s="20">
        <v>385632</v>
      </c>
      <c r="S34" s="20">
        <v>55</v>
      </c>
      <c r="T34" s="15" t="s">
        <v>657</v>
      </c>
      <c r="U34" s="15" t="s">
        <v>546</v>
      </c>
      <c r="V34" s="15" t="s">
        <v>546</v>
      </c>
      <c r="W34" s="15" t="s">
        <v>646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3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0</v>
      </c>
      <c r="AQ34" s="20">
        <v>0</v>
      </c>
      <c r="AR34" s="20">
        <v>0</v>
      </c>
      <c r="AS34" s="20">
        <v>0</v>
      </c>
      <c r="AT34" s="20">
        <v>0</v>
      </c>
      <c r="AU34" s="15" t="s">
        <v>646</v>
      </c>
      <c r="AV34" s="20">
        <v>100</v>
      </c>
      <c r="AX34" s="1" t="s">
        <v>646</v>
      </c>
      <c r="AY34" s="14" t="str">
        <f>HYPERLINK("#일위대가목록!A14", "▶바로가기")</f>
        <v>▶바로가기</v>
      </c>
    </row>
    <row r="35" spans="1:51" ht="28.5" customHeight="1" x14ac:dyDescent="0.3">
      <c r="A35" s="21" t="s">
        <v>148</v>
      </c>
      <c r="B35" s="17" t="s">
        <v>646</v>
      </c>
      <c r="C35" s="21" t="s">
        <v>229</v>
      </c>
      <c r="D35" s="24">
        <v>29.4</v>
      </c>
      <c r="E35" s="11"/>
      <c r="F35" s="4"/>
      <c r="G35" s="11"/>
      <c r="H35" s="4"/>
      <c r="I35" s="11"/>
      <c r="J35" s="4"/>
      <c r="K35" s="11"/>
      <c r="L35" s="4"/>
      <c r="M35" s="17" t="s">
        <v>646</v>
      </c>
      <c r="N35" s="3" t="str">
        <f>HYPERLINK("#일위대가목록!A15", "SF0330002300")</f>
        <v>SF0330002300</v>
      </c>
      <c r="O35" s="15" t="s">
        <v>646</v>
      </c>
      <c r="P35" s="15" t="s">
        <v>646</v>
      </c>
      <c r="Q35" s="15" t="s">
        <v>341</v>
      </c>
      <c r="R35" s="20">
        <v>385632</v>
      </c>
      <c r="S35" s="20">
        <v>60</v>
      </c>
      <c r="T35" s="15" t="s">
        <v>657</v>
      </c>
      <c r="U35" s="15" t="s">
        <v>546</v>
      </c>
      <c r="V35" s="15" t="s">
        <v>546</v>
      </c>
      <c r="W35" s="15" t="s">
        <v>646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3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20">
        <v>0</v>
      </c>
      <c r="AU35" s="15" t="s">
        <v>646</v>
      </c>
      <c r="AV35" s="20">
        <v>100</v>
      </c>
      <c r="AX35" s="1" t="s">
        <v>646</v>
      </c>
      <c r="AY35" s="14" t="str">
        <f>HYPERLINK("#일위대가목록!A15", "▶바로가기")</f>
        <v>▶바로가기</v>
      </c>
    </row>
    <row r="36" spans="1:51" ht="28.5" customHeight="1" x14ac:dyDescent="0.3">
      <c r="A36" s="21" t="s">
        <v>109</v>
      </c>
      <c r="B36" s="17" t="s">
        <v>452</v>
      </c>
      <c r="C36" s="21" t="s">
        <v>716</v>
      </c>
      <c r="D36" s="24">
        <v>1</v>
      </c>
      <c r="E36" s="11"/>
      <c r="F36" s="4"/>
      <c r="G36" s="11"/>
      <c r="H36" s="4"/>
      <c r="I36" s="11"/>
      <c r="J36" s="4"/>
      <c r="K36" s="11"/>
      <c r="L36" s="4"/>
      <c r="M36" s="17" t="s">
        <v>47</v>
      </c>
      <c r="N36" s="3" t="str">
        <f>HYPERLINK("#단가대비표!B61", "0000221001450000")</f>
        <v>0000221001450000</v>
      </c>
      <c r="O36" s="15" t="s">
        <v>646</v>
      </c>
      <c r="P36" s="15" t="s">
        <v>646</v>
      </c>
      <c r="Q36" s="15" t="s">
        <v>341</v>
      </c>
      <c r="R36" s="20">
        <v>385632</v>
      </c>
      <c r="S36" s="20">
        <v>70</v>
      </c>
      <c r="T36" s="15" t="s">
        <v>546</v>
      </c>
      <c r="U36" s="15" t="s">
        <v>546</v>
      </c>
      <c r="V36" s="15" t="s">
        <v>657</v>
      </c>
      <c r="W36" s="15" t="s">
        <v>646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3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  <c r="AQ36" s="20">
        <v>0</v>
      </c>
      <c r="AR36" s="20">
        <v>0</v>
      </c>
      <c r="AS36" s="20">
        <v>0</v>
      </c>
      <c r="AT36" s="20">
        <v>0</v>
      </c>
      <c r="AU36" s="15" t="s">
        <v>646</v>
      </c>
      <c r="AV36" s="20">
        <v>100</v>
      </c>
      <c r="AX36" s="1" t="s">
        <v>646</v>
      </c>
      <c r="AY36" s="14" t="str">
        <f>HYPERLINK("#단가대비표!B61", "▶바로가기")</f>
        <v>▶바로가기</v>
      </c>
    </row>
    <row r="37" spans="1:51" ht="28.5" customHeight="1" x14ac:dyDescent="0.3">
      <c r="A37" s="21" t="s">
        <v>567</v>
      </c>
      <c r="B37" s="17" t="s">
        <v>489</v>
      </c>
      <c r="C37" s="21" t="s">
        <v>717</v>
      </c>
      <c r="D37" s="24">
        <v>10</v>
      </c>
      <c r="E37" s="11"/>
      <c r="F37" s="4"/>
      <c r="G37" s="11"/>
      <c r="H37" s="4"/>
      <c r="I37" s="11"/>
      <c r="J37" s="4"/>
      <c r="K37" s="11"/>
      <c r="L37" s="4"/>
      <c r="M37" s="17" t="s">
        <v>409</v>
      </c>
      <c r="N37" s="3" t="str">
        <f>HYPERLINK("#단가대비표!B53", "L001010101000002")</f>
        <v>L001010101000002</v>
      </c>
      <c r="O37" s="15" t="s">
        <v>646</v>
      </c>
      <c r="P37" s="15" t="s">
        <v>646</v>
      </c>
      <c r="Q37" s="15" t="s">
        <v>341</v>
      </c>
      <c r="R37" s="20">
        <v>385632</v>
      </c>
      <c r="S37" s="20">
        <v>80</v>
      </c>
      <c r="T37" s="15" t="s">
        <v>546</v>
      </c>
      <c r="U37" s="15" t="s">
        <v>546</v>
      </c>
      <c r="V37" s="15" t="s">
        <v>657</v>
      </c>
      <c r="W37" s="15" t="s">
        <v>646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3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0">
        <v>0</v>
      </c>
      <c r="AS37" s="20">
        <v>0</v>
      </c>
      <c r="AT37" s="20">
        <v>0</v>
      </c>
      <c r="AU37" s="15" t="s">
        <v>646</v>
      </c>
      <c r="AV37" s="20">
        <v>100</v>
      </c>
      <c r="AX37" s="1" t="s">
        <v>646</v>
      </c>
      <c r="AY37" s="14" t="str">
        <f>HYPERLINK("#단가대비표!B53", "▶바로가기")</f>
        <v>▶바로가기</v>
      </c>
    </row>
    <row r="38" spans="1:51" ht="28.5" customHeight="1" x14ac:dyDescent="0.3">
      <c r="A38" s="21" t="s">
        <v>646</v>
      </c>
      <c r="B38" s="21" t="s">
        <v>646</v>
      </c>
      <c r="C38" s="21" t="s">
        <v>646</v>
      </c>
      <c r="D38" s="4">
        <v>0</v>
      </c>
      <c r="E38" s="11"/>
      <c r="F38" s="4"/>
      <c r="G38" s="11"/>
      <c r="H38" s="4"/>
      <c r="I38" s="11"/>
      <c r="J38" s="4"/>
      <c r="K38" s="11"/>
      <c r="L38" s="4"/>
      <c r="M38" s="21" t="s">
        <v>646</v>
      </c>
      <c r="N38" s="21" t="s">
        <v>646</v>
      </c>
      <c r="O38" s="21" t="s">
        <v>646</v>
      </c>
      <c r="P38" s="21" t="s">
        <v>646</v>
      </c>
      <c r="AU38" s="15"/>
      <c r="AV38" s="20">
        <v>0</v>
      </c>
    </row>
    <row r="39" spans="1:51" ht="28.5" customHeight="1" x14ac:dyDescent="0.3">
      <c r="A39" s="21" t="s">
        <v>646</v>
      </c>
      <c r="B39" s="21" t="s">
        <v>646</v>
      </c>
      <c r="C39" s="21" t="s">
        <v>646</v>
      </c>
      <c r="D39" s="4">
        <v>0</v>
      </c>
      <c r="E39" s="11"/>
      <c r="F39" s="4"/>
      <c r="G39" s="11"/>
      <c r="H39" s="4"/>
      <c r="I39" s="11"/>
      <c r="J39" s="4"/>
      <c r="K39" s="11"/>
      <c r="L39" s="4"/>
      <c r="M39" s="21" t="s">
        <v>646</v>
      </c>
      <c r="N39" s="21" t="s">
        <v>646</v>
      </c>
      <c r="O39" s="21" t="s">
        <v>646</v>
      </c>
      <c r="P39" s="21" t="s">
        <v>646</v>
      </c>
      <c r="AU39" s="15"/>
      <c r="AV39" s="20">
        <v>0</v>
      </c>
    </row>
    <row r="40" spans="1:51" ht="28.5" customHeight="1" x14ac:dyDescent="0.3">
      <c r="A40" s="21" t="s">
        <v>646</v>
      </c>
      <c r="B40" s="21" t="s">
        <v>646</v>
      </c>
      <c r="C40" s="21" t="s">
        <v>646</v>
      </c>
      <c r="D40" s="4">
        <v>0</v>
      </c>
      <c r="E40" s="11"/>
      <c r="F40" s="4"/>
      <c r="G40" s="11"/>
      <c r="H40" s="4"/>
      <c r="I40" s="11"/>
      <c r="J40" s="4"/>
      <c r="K40" s="11"/>
      <c r="L40" s="4"/>
      <c r="M40" s="21" t="s">
        <v>646</v>
      </c>
      <c r="N40" s="21" t="s">
        <v>646</v>
      </c>
      <c r="O40" s="21" t="s">
        <v>646</v>
      </c>
      <c r="P40" s="21" t="s">
        <v>646</v>
      </c>
      <c r="AU40" s="15"/>
      <c r="AV40" s="20">
        <v>0</v>
      </c>
    </row>
    <row r="41" spans="1:51" ht="28.5" customHeight="1" x14ac:dyDescent="0.3">
      <c r="A41" s="21" t="s">
        <v>646</v>
      </c>
      <c r="B41" s="21" t="s">
        <v>646</v>
      </c>
      <c r="C41" s="21" t="s">
        <v>646</v>
      </c>
      <c r="D41" s="4">
        <v>0</v>
      </c>
      <c r="E41" s="11"/>
      <c r="F41" s="4"/>
      <c r="G41" s="11"/>
      <c r="H41" s="4"/>
      <c r="I41" s="11"/>
      <c r="J41" s="4"/>
      <c r="K41" s="11"/>
      <c r="L41" s="4"/>
      <c r="M41" s="21" t="s">
        <v>646</v>
      </c>
      <c r="N41" s="21" t="s">
        <v>646</v>
      </c>
      <c r="O41" s="21" t="s">
        <v>646</v>
      </c>
      <c r="P41" s="21" t="s">
        <v>646</v>
      </c>
      <c r="AU41" s="15"/>
      <c r="AV41" s="20">
        <v>0</v>
      </c>
    </row>
    <row r="42" spans="1:51" ht="28.5" customHeight="1" x14ac:dyDescent="0.3">
      <c r="A42" s="21" t="s">
        <v>646</v>
      </c>
      <c r="B42" s="21" t="s">
        <v>646</v>
      </c>
      <c r="C42" s="21" t="s">
        <v>646</v>
      </c>
      <c r="D42" s="4">
        <v>0</v>
      </c>
      <c r="E42" s="11"/>
      <c r="F42" s="4"/>
      <c r="G42" s="11"/>
      <c r="H42" s="4"/>
      <c r="I42" s="11"/>
      <c r="J42" s="4"/>
      <c r="K42" s="11"/>
      <c r="L42" s="4"/>
      <c r="M42" s="21" t="s">
        <v>646</v>
      </c>
      <c r="N42" s="21" t="s">
        <v>646</v>
      </c>
      <c r="O42" s="21" t="s">
        <v>646</v>
      </c>
      <c r="P42" s="21" t="s">
        <v>646</v>
      </c>
      <c r="AU42" s="15"/>
      <c r="AV42" s="20">
        <v>0</v>
      </c>
    </row>
    <row r="43" spans="1:51" ht="28.5" customHeight="1" x14ac:dyDescent="0.3">
      <c r="A43" s="21" t="s">
        <v>646</v>
      </c>
      <c r="B43" s="21" t="s">
        <v>646</v>
      </c>
      <c r="C43" s="21" t="s">
        <v>646</v>
      </c>
      <c r="D43" s="4">
        <v>0</v>
      </c>
      <c r="E43" s="11"/>
      <c r="F43" s="4"/>
      <c r="G43" s="11"/>
      <c r="H43" s="4"/>
      <c r="I43" s="11"/>
      <c r="J43" s="4"/>
      <c r="K43" s="11"/>
      <c r="L43" s="4"/>
      <c r="M43" s="21" t="s">
        <v>646</v>
      </c>
      <c r="N43" s="21" t="s">
        <v>646</v>
      </c>
      <c r="O43" s="21" t="s">
        <v>646</v>
      </c>
      <c r="P43" s="21" t="s">
        <v>646</v>
      </c>
      <c r="AU43" s="15"/>
      <c r="AV43" s="20">
        <v>0</v>
      </c>
    </row>
    <row r="44" spans="1:51" ht="28.5" customHeight="1" x14ac:dyDescent="0.3">
      <c r="A44" s="21" t="s">
        <v>646</v>
      </c>
      <c r="B44" s="21" t="s">
        <v>646</v>
      </c>
      <c r="C44" s="21" t="s">
        <v>646</v>
      </c>
      <c r="D44" s="4">
        <v>0</v>
      </c>
      <c r="E44" s="11"/>
      <c r="F44" s="4"/>
      <c r="G44" s="11"/>
      <c r="H44" s="4"/>
      <c r="I44" s="11"/>
      <c r="J44" s="4"/>
      <c r="K44" s="11"/>
      <c r="L44" s="4"/>
      <c r="M44" s="21" t="s">
        <v>646</v>
      </c>
      <c r="N44" s="21" t="s">
        <v>646</v>
      </c>
      <c r="O44" s="21" t="s">
        <v>646</v>
      </c>
      <c r="P44" s="21" t="s">
        <v>646</v>
      </c>
      <c r="AU44" s="15"/>
      <c r="AV44" s="20">
        <v>0</v>
      </c>
    </row>
    <row r="45" spans="1:51" ht="28.5" customHeight="1" x14ac:dyDescent="0.3">
      <c r="A45" s="21" t="s">
        <v>646</v>
      </c>
      <c r="B45" s="21" t="s">
        <v>646</v>
      </c>
      <c r="C45" s="21" t="s">
        <v>646</v>
      </c>
      <c r="D45" s="4">
        <v>0</v>
      </c>
      <c r="E45" s="11"/>
      <c r="F45" s="4"/>
      <c r="G45" s="11"/>
      <c r="H45" s="4"/>
      <c r="I45" s="11"/>
      <c r="J45" s="4"/>
      <c r="K45" s="11"/>
      <c r="L45" s="4"/>
      <c r="M45" s="21" t="s">
        <v>646</v>
      </c>
      <c r="N45" s="21" t="s">
        <v>646</v>
      </c>
      <c r="O45" s="21" t="s">
        <v>646</v>
      </c>
      <c r="P45" s="21" t="s">
        <v>646</v>
      </c>
      <c r="AU45" s="15"/>
      <c r="AV45" s="20">
        <v>0</v>
      </c>
    </row>
    <row r="46" spans="1:51" ht="28.5" customHeight="1" x14ac:dyDescent="0.3">
      <c r="A46" s="21" t="s">
        <v>646</v>
      </c>
      <c r="B46" s="21" t="s">
        <v>646</v>
      </c>
      <c r="C46" s="21" t="s">
        <v>646</v>
      </c>
      <c r="D46" s="4">
        <v>0</v>
      </c>
      <c r="E46" s="11"/>
      <c r="F46" s="4"/>
      <c r="G46" s="11"/>
      <c r="H46" s="4"/>
      <c r="I46" s="11"/>
      <c r="J46" s="4"/>
      <c r="K46" s="11"/>
      <c r="L46" s="4"/>
      <c r="M46" s="21" t="s">
        <v>646</v>
      </c>
      <c r="N46" s="21" t="s">
        <v>646</v>
      </c>
      <c r="O46" s="21" t="s">
        <v>646</v>
      </c>
      <c r="P46" s="21" t="s">
        <v>646</v>
      </c>
      <c r="AU46" s="15"/>
      <c r="AV46" s="20">
        <v>0</v>
      </c>
    </row>
    <row r="47" spans="1:51" ht="28.5" customHeight="1" x14ac:dyDescent="0.3">
      <c r="A47" s="21" t="s">
        <v>646</v>
      </c>
      <c r="B47" s="21" t="s">
        <v>646</v>
      </c>
      <c r="C47" s="21" t="s">
        <v>646</v>
      </c>
      <c r="D47" s="4">
        <v>0</v>
      </c>
      <c r="E47" s="11"/>
      <c r="F47" s="4"/>
      <c r="G47" s="11"/>
      <c r="H47" s="4"/>
      <c r="I47" s="11"/>
      <c r="J47" s="4"/>
      <c r="K47" s="11"/>
      <c r="L47" s="4"/>
      <c r="M47" s="21" t="s">
        <v>646</v>
      </c>
      <c r="N47" s="21" t="s">
        <v>646</v>
      </c>
      <c r="O47" s="21" t="s">
        <v>646</v>
      </c>
      <c r="P47" s="21" t="s">
        <v>646</v>
      </c>
      <c r="AU47" s="15"/>
      <c r="AV47" s="20">
        <v>0</v>
      </c>
    </row>
    <row r="48" spans="1:51" ht="28.5" customHeight="1" x14ac:dyDescent="0.3">
      <c r="A48" s="21" t="s">
        <v>401</v>
      </c>
      <c r="B48" s="21" t="s">
        <v>646</v>
      </c>
      <c r="C48" s="21" t="s">
        <v>646</v>
      </c>
      <c r="D48" s="21" t="s">
        <v>646</v>
      </c>
      <c r="E48" s="2"/>
      <c r="F48" s="4"/>
      <c r="G48" s="4"/>
      <c r="H48" s="4"/>
      <c r="I48" s="4"/>
      <c r="J48" s="4"/>
      <c r="K48" s="10"/>
      <c r="L48" s="4"/>
      <c r="M48" s="21"/>
    </row>
    <row r="49" spans="1:51" ht="28.5" customHeight="1" x14ac:dyDescent="0.3">
      <c r="A49" s="7" t="s">
        <v>160</v>
      </c>
      <c r="B49" s="21"/>
      <c r="C49" s="21"/>
      <c r="D49" s="21" t="s">
        <v>646</v>
      </c>
      <c r="E49" s="21"/>
      <c r="F49" s="21"/>
      <c r="G49" s="21"/>
      <c r="H49" s="21"/>
      <c r="I49" s="21"/>
      <c r="J49" s="21"/>
      <c r="K49" s="21"/>
      <c r="L49" s="21"/>
      <c r="M49" s="21" t="s">
        <v>646</v>
      </c>
      <c r="N49" s="25" t="s">
        <v>646</v>
      </c>
      <c r="Q49" s="15" t="s">
        <v>710</v>
      </c>
      <c r="R49" s="20">
        <v>454493</v>
      </c>
      <c r="S49" s="20">
        <v>0</v>
      </c>
      <c r="AH49" s="15"/>
    </row>
    <row r="50" spans="1:51" ht="28.5" customHeight="1" x14ac:dyDescent="0.3">
      <c r="A50" s="21" t="s">
        <v>241</v>
      </c>
      <c r="B50" s="17" t="s">
        <v>327</v>
      </c>
      <c r="C50" s="21" t="s">
        <v>612</v>
      </c>
      <c r="D50" s="24">
        <v>5</v>
      </c>
      <c r="E50" s="11"/>
      <c r="F50" s="4"/>
      <c r="G50" s="11"/>
      <c r="H50" s="4"/>
      <c r="I50" s="11"/>
      <c r="J50" s="4"/>
      <c r="K50" s="11"/>
      <c r="L50" s="4"/>
      <c r="M50" s="17" t="s">
        <v>216</v>
      </c>
      <c r="N50" s="3" t="str">
        <f>HYPERLINK("#단가대비표!B62", "E001010115010520")</f>
        <v>E001010115010520</v>
      </c>
      <c r="O50" s="15" t="s">
        <v>646</v>
      </c>
      <c r="P50" s="15" t="s">
        <v>646</v>
      </c>
      <c r="Q50" s="15" t="s">
        <v>710</v>
      </c>
      <c r="R50" s="20">
        <v>454493</v>
      </c>
      <c r="S50" s="20">
        <v>10</v>
      </c>
      <c r="T50" s="15" t="s">
        <v>546</v>
      </c>
      <c r="U50" s="15" t="s">
        <v>546</v>
      </c>
      <c r="V50" s="15" t="s">
        <v>657</v>
      </c>
      <c r="W50" s="15" t="s">
        <v>646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4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0</v>
      </c>
      <c r="AQ50" s="20">
        <v>0</v>
      </c>
      <c r="AR50" s="20">
        <v>0</v>
      </c>
      <c r="AS50" s="20">
        <v>0</v>
      </c>
      <c r="AT50" s="20">
        <v>0</v>
      </c>
      <c r="AU50" s="15" t="s">
        <v>646</v>
      </c>
      <c r="AV50" s="20">
        <v>100</v>
      </c>
      <c r="AX50" s="1" t="s">
        <v>646</v>
      </c>
      <c r="AY50" s="14" t="str">
        <f>HYPERLINK("#단가대비표!B62", "▶바로가기")</f>
        <v>▶바로가기</v>
      </c>
    </row>
    <row r="51" spans="1:51" ht="28.5" customHeight="1" x14ac:dyDescent="0.3">
      <c r="A51" s="21" t="s">
        <v>330</v>
      </c>
      <c r="B51" s="17" t="s">
        <v>8</v>
      </c>
      <c r="C51" s="21" t="s">
        <v>612</v>
      </c>
      <c r="D51" s="24">
        <v>10</v>
      </c>
      <c r="E51" s="11"/>
      <c r="F51" s="4"/>
      <c r="G51" s="11"/>
      <c r="H51" s="4"/>
      <c r="I51" s="11"/>
      <c r="J51" s="4"/>
      <c r="K51" s="11"/>
      <c r="L51" s="4"/>
      <c r="M51" s="17" t="s">
        <v>216</v>
      </c>
      <c r="N51" s="3" t="str">
        <f>HYPERLINK("#단가대비표!B63", "E001010115010612")</f>
        <v>E001010115010612</v>
      </c>
      <c r="O51" s="15" t="s">
        <v>646</v>
      </c>
      <c r="P51" s="15" t="s">
        <v>646</v>
      </c>
      <c r="Q51" s="15" t="s">
        <v>710</v>
      </c>
      <c r="R51" s="20">
        <v>454493</v>
      </c>
      <c r="S51" s="20">
        <v>20</v>
      </c>
      <c r="T51" s="15" t="s">
        <v>546</v>
      </c>
      <c r="U51" s="15" t="s">
        <v>546</v>
      </c>
      <c r="V51" s="15" t="s">
        <v>657</v>
      </c>
      <c r="W51" s="15" t="s">
        <v>646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4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0</v>
      </c>
      <c r="AQ51" s="20">
        <v>0</v>
      </c>
      <c r="AR51" s="20">
        <v>0</v>
      </c>
      <c r="AS51" s="20">
        <v>0</v>
      </c>
      <c r="AT51" s="20">
        <v>0</v>
      </c>
      <c r="AU51" s="15" t="s">
        <v>646</v>
      </c>
      <c r="AV51" s="20">
        <v>100</v>
      </c>
      <c r="AX51" s="1" t="s">
        <v>646</v>
      </c>
      <c r="AY51" s="14" t="str">
        <f>HYPERLINK("#단가대비표!B63", "▶바로가기")</f>
        <v>▶바로가기</v>
      </c>
    </row>
    <row r="52" spans="1:51" ht="28.5" customHeight="1" x14ac:dyDescent="0.3">
      <c r="A52" s="21" t="s">
        <v>646</v>
      </c>
      <c r="B52" s="21" t="s">
        <v>646</v>
      </c>
      <c r="C52" s="21" t="s">
        <v>646</v>
      </c>
      <c r="D52" s="4">
        <v>0</v>
      </c>
      <c r="E52" s="11"/>
      <c r="F52" s="4"/>
      <c r="G52" s="11"/>
      <c r="H52" s="4"/>
      <c r="I52" s="11"/>
      <c r="J52" s="4"/>
      <c r="K52" s="11"/>
      <c r="L52" s="4"/>
      <c r="M52" s="21" t="s">
        <v>646</v>
      </c>
      <c r="N52" s="21" t="s">
        <v>646</v>
      </c>
      <c r="O52" s="21" t="s">
        <v>646</v>
      </c>
      <c r="P52" s="21" t="s">
        <v>646</v>
      </c>
      <c r="AU52" s="15"/>
      <c r="AV52" s="20">
        <v>0</v>
      </c>
    </row>
    <row r="53" spans="1:51" ht="28.5" customHeight="1" x14ac:dyDescent="0.3">
      <c r="A53" s="21" t="s">
        <v>646</v>
      </c>
      <c r="B53" s="21" t="s">
        <v>646</v>
      </c>
      <c r="C53" s="21" t="s">
        <v>646</v>
      </c>
      <c r="D53" s="4">
        <v>0</v>
      </c>
      <c r="E53" s="11"/>
      <c r="F53" s="4"/>
      <c r="G53" s="11"/>
      <c r="H53" s="4"/>
      <c r="I53" s="11"/>
      <c r="J53" s="4"/>
      <c r="K53" s="11"/>
      <c r="L53" s="4"/>
      <c r="M53" s="21" t="s">
        <v>646</v>
      </c>
      <c r="N53" s="21" t="s">
        <v>646</v>
      </c>
      <c r="O53" s="21" t="s">
        <v>646</v>
      </c>
      <c r="P53" s="21" t="s">
        <v>646</v>
      </c>
      <c r="AU53" s="15"/>
      <c r="AV53" s="20">
        <v>0</v>
      </c>
    </row>
    <row r="54" spans="1:51" ht="28.5" customHeight="1" x14ac:dyDescent="0.3">
      <c r="A54" s="21" t="s">
        <v>646</v>
      </c>
      <c r="B54" s="21" t="s">
        <v>646</v>
      </c>
      <c r="C54" s="21" t="s">
        <v>646</v>
      </c>
      <c r="D54" s="4">
        <v>0</v>
      </c>
      <c r="E54" s="11"/>
      <c r="F54" s="4"/>
      <c r="G54" s="11"/>
      <c r="H54" s="4"/>
      <c r="I54" s="11"/>
      <c r="J54" s="4"/>
      <c r="K54" s="11"/>
      <c r="L54" s="4"/>
      <c r="M54" s="21" t="s">
        <v>646</v>
      </c>
      <c r="N54" s="21" t="s">
        <v>646</v>
      </c>
      <c r="O54" s="21" t="s">
        <v>646</v>
      </c>
      <c r="P54" s="21" t="s">
        <v>646</v>
      </c>
      <c r="AU54" s="15"/>
      <c r="AV54" s="20">
        <v>0</v>
      </c>
    </row>
    <row r="55" spans="1:51" ht="28.5" customHeight="1" x14ac:dyDescent="0.3">
      <c r="A55" s="21" t="s">
        <v>646</v>
      </c>
      <c r="B55" s="21" t="s">
        <v>646</v>
      </c>
      <c r="C55" s="21" t="s">
        <v>646</v>
      </c>
      <c r="D55" s="4">
        <v>0</v>
      </c>
      <c r="E55" s="11"/>
      <c r="F55" s="4"/>
      <c r="G55" s="11"/>
      <c r="H55" s="4"/>
      <c r="I55" s="11"/>
      <c r="J55" s="4"/>
      <c r="K55" s="11"/>
      <c r="L55" s="4"/>
      <c r="M55" s="21" t="s">
        <v>646</v>
      </c>
      <c r="N55" s="21" t="s">
        <v>646</v>
      </c>
      <c r="O55" s="21" t="s">
        <v>646</v>
      </c>
      <c r="P55" s="21" t="s">
        <v>646</v>
      </c>
      <c r="AU55" s="15"/>
      <c r="AV55" s="20">
        <v>0</v>
      </c>
    </row>
    <row r="56" spans="1:51" ht="28.5" customHeight="1" x14ac:dyDescent="0.3">
      <c r="A56" s="21" t="s">
        <v>646</v>
      </c>
      <c r="B56" s="21" t="s">
        <v>646</v>
      </c>
      <c r="C56" s="21" t="s">
        <v>646</v>
      </c>
      <c r="D56" s="4">
        <v>0</v>
      </c>
      <c r="E56" s="11"/>
      <c r="F56" s="4"/>
      <c r="G56" s="11"/>
      <c r="H56" s="4"/>
      <c r="I56" s="11"/>
      <c r="J56" s="4"/>
      <c r="K56" s="11"/>
      <c r="L56" s="4"/>
      <c r="M56" s="21" t="s">
        <v>646</v>
      </c>
      <c r="N56" s="21" t="s">
        <v>646</v>
      </c>
      <c r="O56" s="21" t="s">
        <v>646</v>
      </c>
      <c r="P56" s="21" t="s">
        <v>646</v>
      </c>
      <c r="AU56" s="15"/>
      <c r="AV56" s="20">
        <v>0</v>
      </c>
    </row>
    <row r="57" spans="1:51" ht="28.5" customHeight="1" x14ac:dyDescent="0.3">
      <c r="A57" s="21" t="s">
        <v>646</v>
      </c>
      <c r="B57" s="21" t="s">
        <v>646</v>
      </c>
      <c r="C57" s="21" t="s">
        <v>646</v>
      </c>
      <c r="D57" s="4">
        <v>0</v>
      </c>
      <c r="E57" s="11"/>
      <c r="F57" s="4"/>
      <c r="G57" s="11"/>
      <c r="H57" s="4"/>
      <c r="I57" s="11"/>
      <c r="J57" s="4"/>
      <c r="K57" s="11"/>
      <c r="L57" s="4"/>
      <c r="M57" s="21" t="s">
        <v>646</v>
      </c>
      <c r="N57" s="21" t="s">
        <v>646</v>
      </c>
      <c r="O57" s="21" t="s">
        <v>646</v>
      </c>
      <c r="P57" s="21" t="s">
        <v>646</v>
      </c>
      <c r="AU57" s="15"/>
      <c r="AV57" s="20">
        <v>0</v>
      </c>
    </row>
    <row r="58" spans="1:51" ht="28.5" customHeight="1" x14ac:dyDescent="0.3">
      <c r="A58" s="21" t="s">
        <v>646</v>
      </c>
      <c r="B58" s="21" t="s">
        <v>646</v>
      </c>
      <c r="C58" s="21" t="s">
        <v>646</v>
      </c>
      <c r="D58" s="4">
        <v>0</v>
      </c>
      <c r="E58" s="11"/>
      <c r="F58" s="4"/>
      <c r="G58" s="11"/>
      <c r="H58" s="4"/>
      <c r="I58" s="11"/>
      <c r="J58" s="4"/>
      <c r="K58" s="11"/>
      <c r="L58" s="4"/>
      <c r="M58" s="21" t="s">
        <v>646</v>
      </c>
      <c r="N58" s="21" t="s">
        <v>646</v>
      </c>
      <c r="O58" s="21" t="s">
        <v>646</v>
      </c>
      <c r="P58" s="21" t="s">
        <v>646</v>
      </c>
      <c r="AU58" s="15"/>
      <c r="AV58" s="20">
        <v>0</v>
      </c>
    </row>
    <row r="59" spans="1:51" ht="28.5" customHeight="1" x14ac:dyDescent="0.3">
      <c r="A59" s="21" t="s">
        <v>646</v>
      </c>
      <c r="B59" s="21" t="s">
        <v>646</v>
      </c>
      <c r="C59" s="21" t="s">
        <v>646</v>
      </c>
      <c r="D59" s="4">
        <v>0</v>
      </c>
      <c r="E59" s="11"/>
      <c r="F59" s="4"/>
      <c r="G59" s="11"/>
      <c r="H59" s="4"/>
      <c r="I59" s="11"/>
      <c r="J59" s="4"/>
      <c r="K59" s="11"/>
      <c r="L59" s="4"/>
      <c r="M59" s="21" t="s">
        <v>646</v>
      </c>
      <c r="N59" s="21" t="s">
        <v>646</v>
      </c>
      <c r="O59" s="21" t="s">
        <v>646</v>
      </c>
      <c r="P59" s="21" t="s">
        <v>646</v>
      </c>
      <c r="AU59" s="15"/>
      <c r="AV59" s="20">
        <v>0</v>
      </c>
    </row>
    <row r="60" spans="1:51" ht="28.5" customHeight="1" x14ac:dyDescent="0.3">
      <c r="A60" s="21" t="s">
        <v>646</v>
      </c>
      <c r="B60" s="21" t="s">
        <v>646</v>
      </c>
      <c r="C60" s="21" t="s">
        <v>646</v>
      </c>
      <c r="D60" s="4">
        <v>0</v>
      </c>
      <c r="E60" s="11"/>
      <c r="F60" s="4"/>
      <c r="G60" s="11"/>
      <c r="H60" s="4"/>
      <c r="I60" s="11"/>
      <c r="J60" s="4"/>
      <c r="K60" s="11"/>
      <c r="L60" s="4"/>
      <c r="M60" s="21" t="s">
        <v>646</v>
      </c>
      <c r="N60" s="21" t="s">
        <v>646</v>
      </c>
      <c r="O60" s="21" t="s">
        <v>646</v>
      </c>
      <c r="P60" s="21" t="s">
        <v>646</v>
      </c>
      <c r="AU60" s="15"/>
      <c r="AV60" s="20">
        <v>0</v>
      </c>
    </row>
    <row r="61" spans="1:51" ht="28.5" customHeight="1" x14ac:dyDescent="0.3">
      <c r="A61" s="21" t="s">
        <v>646</v>
      </c>
      <c r="B61" s="21" t="s">
        <v>646</v>
      </c>
      <c r="C61" s="21" t="s">
        <v>646</v>
      </c>
      <c r="D61" s="4">
        <v>0</v>
      </c>
      <c r="E61" s="11"/>
      <c r="F61" s="4"/>
      <c r="G61" s="11"/>
      <c r="H61" s="4"/>
      <c r="I61" s="11"/>
      <c r="J61" s="4"/>
      <c r="K61" s="11"/>
      <c r="L61" s="4"/>
      <c r="M61" s="21" t="s">
        <v>646</v>
      </c>
      <c r="N61" s="21" t="s">
        <v>646</v>
      </c>
      <c r="O61" s="21" t="s">
        <v>646</v>
      </c>
      <c r="P61" s="21" t="s">
        <v>646</v>
      </c>
      <c r="AU61" s="15"/>
      <c r="AV61" s="20">
        <v>0</v>
      </c>
    </row>
    <row r="62" spans="1:51" ht="28.5" customHeight="1" x14ac:dyDescent="0.3">
      <c r="A62" s="21" t="s">
        <v>646</v>
      </c>
      <c r="B62" s="21" t="s">
        <v>646</v>
      </c>
      <c r="C62" s="21" t="s">
        <v>646</v>
      </c>
      <c r="D62" s="4">
        <v>0</v>
      </c>
      <c r="E62" s="11"/>
      <c r="F62" s="4"/>
      <c r="G62" s="11"/>
      <c r="H62" s="4"/>
      <c r="I62" s="11"/>
      <c r="J62" s="4"/>
      <c r="K62" s="11"/>
      <c r="L62" s="4"/>
      <c r="M62" s="21" t="s">
        <v>646</v>
      </c>
      <c r="N62" s="21" t="s">
        <v>646</v>
      </c>
      <c r="O62" s="21" t="s">
        <v>646</v>
      </c>
      <c r="P62" s="21" t="s">
        <v>646</v>
      </c>
      <c r="AU62" s="15"/>
      <c r="AV62" s="20">
        <v>0</v>
      </c>
    </row>
    <row r="63" spans="1:51" ht="28.5" customHeight="1" x14ac:dyDescent="0.3">
      <c r="A63" s="21" t="s">
        <v>646</v>
      </c>
      <c r="B63" s="21" t="s">
        <v>646</v>
      </c>
      <c r="C63" s="21" t="s">
        <v>646</v>
      </c>
      <c r="D63" s="4">
        <v>0</v>
      </c>
      <c r="E63" s="11"/>
      <c r="F63" s="4"/>
      <c r="G63" s="11"/>
      <c r="H63" s="4"/>
      <c r="I63" s="11"/>
      <c r="J63" s="4"/>
      <c r="K63" s="11"/>
      <c r="L63" s="4"/>
      <c r="M63" s="21" t="s">
        <v>646</v>
      </c>
      <c r="N63" s="21" t="s">
        <v>646</v>
      </c>
      <c r="O63" s="21" t="s">
        <v>646</v>
      </c>
      <c r="P63" s="21" t="s">
        <v>646</v>
      </c>
      <c r="AU63" s="15"/>
      <c r="AV63" s="20">
        <v>0</v>
      </c>
    </row>
    <row r="64" spans="1:51" ht="28.5" customHeight="1" x14ac:dyDescent="0.3">
      <c r="A64" s="21" t="s">
        <v>646</v>
      </c>
      <c r="B64" s="21" t="s">
        <v>646</v>
      </c>
      <c r="C64" s="21" t="s">
        <v>646</v>
      </c>
      <c r="D64" s="4">
        <v>0</v>
      </c>
      <c r="E64" s="11"/>
      <c r="F64" s="4"/>
      <c r="G64" s="11"/>
      <c r="H64" s="4"/>
      <c r="I64" s="11"/>
      <c r="J64" s="4"/>
      <c r="K64" s="11"/>
      <c r="L64" s="4"/>
      <c r="M64" s="21" t="s">
        <v>646</v>
      </c>
      <c r="N64" s="21" t="s">
        <v>646</v>
      </c>
      <c r="O64" s="21" t="s">
        <v>646</v>
      </c>
      <c r="P64" s="21" t="s">
        <v>646</v>
      </c>
      <c r="AU64" s="15"/>
      <c r="AV64" s="20">
        <v>0</v>
      </c>
    </row>
    <row r="65" spans="1:51" ht="28.5" customHeight="1" x14ac:dyDescent="0.3">
      <c r="A65" s="21" t="s">
        <v>646</v>
      </c>
      <c r="B65" s="21" t="s">
        <v>646</v>
      </c>
      <c r="C65" s="21" t="s">
        <v>646</v>
      </c>
      <c r="D65" s="4">
        <v>0</v>
      </c>
      <c r="E65" s="11"/>
      <c r="F65" s="4"/>
      <c r="G65" s="11"/>
      <c r="H65" s="4"/>
      <c r="I65" s="11"/>
      <c r="J65" s="4"/>
      <c r="K65" s="11"/>
      <c r="L65" s="4"/>
      <c r="M65" s="21" t="s">
        <v>646</v>
      </c>
      <c r="N65" s="21" t="s">
        <v>646</v>
      </c>
      <c r="O65" s="21" t="s">
        <v>646</v>
      </c>
      <c r="P65" s="21" t="s">
        <v>646</v>
      </c>
      <c r="AU65" s="15"/>
      <c r="AV65" s="20">
        <v>0</v>
      </c>
    </row>
    <row r="66" spans="1:51" ht="28.5" customHeight="1" x14ac:dyDescent="0.3">
      <c r="A66" s="21" t="s">
        <v>646</v>
      </c>
      <c r="B66" s="21" t="s">
        <v>646</v>
      </c>
      <c r="C66" s="21" t="s">
        <v>646</v>
      </c>
      <c r="D66" s="4">
        <v>0</v>
      </c>
      <c r="E66" s="11"/>
      <c r="F66" s="4"/>
      <c r="G66" s="11"/>
      <c r="H66" s="4"/>
      <c r="I66" s="11"/>
      <c r="J66" s="4"/>
      <c r="K66" s="11"/>
      <c r="L66" s="4"/>
      <c r="M66" s="21" t="s">
        <v>646</v>
      </c>
      <c r="N66" s="21" t="s">
        <v>646</v>
      </c>
      <c r="O66" s="21" t="s">
        <v>646</v>
      </c>
      <c r="P66" s="21" t="s">
        <v>646</v>
      </c>
      <c r="AU66" s="15"/>
      <c r="AV66" s="20">
        <v>0</v>
      </c>
    </row>
    <row r="67" spans="1:51" ht="28.5" customHeight="1" x14ac:dyDescent="0.3">
      <c r="A67" s="21" t="s">
        <v>646</v>
      </c>
      <c r="B67" s="21" t="s">
        <v>646</v>
      </c>
      <c r="C67" s="21" t="s">
        <v>646</v>
      </c>
      <c r="D67" s="4">
        <v>0</v>
      </c>
      <c r="E67" s="11"/>
      <c r="F67" s="4"/>
      <c r="G67" s="11"/>
      <c r="H67" s="4"/>
      <c r="I67" s="11"/>
      <c r="J67" s="4"/>
      <c r="K67" s="11"/>
      <c r="L67" s="4"/>
      <c r="M67" s="21" t="s">
        <v>646</v>
      </c>
      <c r="N67" s="21" t="s">
        <v>646</v>
      </c>
      <c r="O67" s="21" t="s">
        <v>646</v>
      </c>
      <c r="P67" s="21" t="s">
        <v>646</v>
      </c>
      <c r="AU67" s="15"/>
      <c r="AV67" s="20">
        <v>0</v>
      </c>
    </row>
    <row r="68" spans="1:51" ht="28.5" customHeight="1" x14ac:dyDescent="0.3">
      <c r="A68" s="21" t="s">
        <v>646</v>
      </c>
      <c r="B68" s="21" t="s">
        <v>646</v>
      </c>
      <c r="C68" s="21" t="s">
        <v>646</v>
      </c>
      <c r="D68" s="4">
        <v>0</v>
      </c>
      <c r="E68" s="11"/>
      <c r="F68" s="4"/>
      <c r="G68" s="11"/>
      <c r="H68" s="4"/>
      <c r="I68" s="11"/>
      <c r="J68" s="4"/>
      <c r="K68" s="11"/>
      <c r="L68" s="4"/>
      <c r="M68" s="21" t="s">
        <v>646</v>
      </c>
      <c r="N68" s="21" t="s">
        <v>646</v>
      </c>
      <c r="O68" s="21" t="s">
        <v>646</v>
      </c>
      <c r="P68" s="21" t="s">
        <v>646</v>
      </c>
      <c r="AU68" s="15"/>
      <c r="AV68" s="20">
        <v>0</v>
      </c>
    </row>
    <row r="69" spans="1:51" ht="28.5" customHeight="1" x14ac:dyDescent="0.3">
      <c r="A69" s="21" t="s">
        <v>646</v>
      </c>
      <c r="B69" s="21" t="s">
        <v>646</v>
      </c>
      <c r="C69" s="21" t="s">
        <v>646</v>
      </c>
      <c r="D69" s="4">
        <v>0</v>
      </c>
      <c r="E69" s="11"/>
      <c r="F69" s="4"/>
      <c r="G69" s="11"/>
      <c r="H69" s="4"/>
      <c r="I69" s="11"/>
      <c r="J69" s="4"/>
      <c r="K69" s="11"/>
      <c r="L69" s="4"/>
      <c r="M69" s="21" t="s">
        <v>646</v>
      </c>
      <c r="N69" s="21" t="s">
        <v>646</v>
      </c>
      <c r="O69" s="21" t="s">
        <v>646</v>
      </c>
      <c r="P69" s="21" t="s">
        <v>646</v>
      </c>
      <c r="AU69" s="15"/>
      <c r="AV69" s="20">
        <v>0</v>
      </c>
    </row>
    <row r="70" spans="1:51" ht="28.5" customHeight="1" x14ac:dyDescent="0.3">
      <c r="A70" s="21" t="s">
        <v>401</v>
      </c>
      <c r="B70" s="21" t="s">
        <v>646</v>
      </c>
      <c r="C70" s="21" t="s">
        <v>646</v>
      </c>
      <c r="D70" s="21" t="s">
        <v>646</v>
      </c>
      <c r="E70" s="2"/>
      <c r="F70" s="4"/>
      <c r="G70" s="4"/>
      <c r="H70" s="4"/>
      <c r="I70" s="4"/>
      <c r="J70" s="4"/>
      <c r="K70" s="10"/>
      <c r="L70" s="4"/>
      <c r="M70" s="21"/>
    </row>
    <row r="71" spans="1:51" ht="28.5" customHeight="1" x14ac:dyDescent="0.3">
      <c r="A71" s="7" t="s">
        <v>357</v>
      </c>
      <c r="B71" s="21"/>
      <c r="C71" s="21"/>
      <c r="D71" s="21" t="s">
        <v>646</v>
      </c>
      <c r="E71" s="21"/>
      <c r="F71" s="21"/>
      <c r="G71" s="21"/>
      <c r="H71" s="21"/>
      <c r="I71" s="21"/>
      <c r="J71" s="21"/>
      <c r="K71" s="21"/>
      <c r="L71" s="21"/>
      <c r="M71" s="21" t="s">
        <v>646</v>
      </c>
      <c r="N71" s="25" t="s">
        <v>646</v>
      </c>
      <c r="Q71" s="15" t="s">
        <v>554</v>
      </c>
      <c r="R71" s="20">
        <v>592989</v>
      </c>
      <c r="S71" s="20">
        <v>0</v>
      </c>
      <c r="AH71" s="15"/>
    </row>
    <row r="72" spans="1:51" ht="28.5" customHeight="1" x14ac:dyDescent="0.3">
      <c r="A72" s="21" t="s">
        <v>390</v>
      </c>
      <c r="B72" s="17" t="s">
        <v>521</v>
      </c>
      <c r="C72" s="21" t="s">
        <v>128</v>
      </c>
      <c r="D72" s="24">
        <v>69.7</v>
      </c>
      <c r="E72" s="11"/>
      <c r="F72" s="4"/>
      <c r="G72" s="11"/>
      <c r="H72" s="4"/>
      <c r="I72" s="11"/>
      <c r="J72" s="4"/>
      <c r="K72" s="11"/>
      <c r="L72" s="4"/>
      <c r="M72" s="17" t="s">
        <v>646</v>
      </c>
      <c r="N72" s="3" t="str">
        <f>HYPERLINK("#일위대가목록!A16", "AD0201000400")</f>
        <v>AD0201000400</v>
      </c>
      <c r="O72" s="15" t="s">
        <v>646</v>
      </c>
      <c r="P72" s="15" t="s">
        <v>646</v>
      </c>
      <c r="Q72" s="15" t="s">
        <v>554</v>
      </c>
      <c r="R72" s="20">
        <v>592989</v>
      </c>
      <c r="S72" s="20">
        <v>10</v>
      </c>
      <c r="T72" s="15" t="s">
        <v>657</v>
      </c>
      <c r="U72" s="15" t="s">
        <v>546</v>
      </c>
      <c r="V72" s="15" t="s">
        <v>546</v>
      </c>
      <c r="W72" s="15" t="s">
        <v>646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5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0</v>
      </c>
      <c r="AQ72" s="20">
        <v>0</v>
      </c>
      <c r="AR72" s="20">
        <v>0</v>
      </c>
      <c r="AS72" s="20">
        <v>0</v>
      </c>
      <c r="AT72" s="20">
        <v>0</v>
      </c>
      <c r="AU72" s="15" t="s">
        <v>646</v>
      </c>
      <c r="AV72" s="20">
        <v>100</v>
      </c>
      <c r="AX72" s="1" t="s">
        <v>646</v>
      </c>
      <c r="AY72" s="14" t="str">
        <f>HYPERLINK("#일위대가목록!A16", "▶바로가기")</f>
        <v>▶바로가기</v>
      </c>
    </row>
    <row r="73" spans="1:51" ht="28.5" customHeight="1" x14ac:dyDescent="0.3">
      <c r="A73" s="21" t="s">
        <v>287</v>
      </c>
      <c r="B73" s="17" t="s">
        <v>173</v>
      </c>
      <c r="C73" s="21" t="s">
        <v>128</v>
      </c>
      <c r="D73" s="24">
        <v>69.7</v>
      </c>
      <c r="E73" s="11"/>
      <c r="F73" s="4"/>
      <c r="G73" s="11"/>
      <c r="H73" s="4"/>
      <c r="I73" s="11"/>
      <c r="J73" s="4"/>
      <c r="K73" s="11"/>
      <c r="L73" s="4"/>
      <c r="M73" s="17" t="s">
        <v>646</v>
      </c>
      <c r="N73" s="3" t="str">
        <f>HYPERLINK("#일위대가목록!A17", "AD0203200400")</f>
        <v>AD0203200400</v>
      </c>
      <c r="O73" s="15" t="s">
        <v>646</v>
      </c>
      <c r="P73" s="15" t="s">
        <v>646</v>
      </c>
      <c r="Q73" s="15" t="s">
        <v>554</v>
      </c>
      <c r="R73" s="20">
        <v>592989</v>
      </c>
      <c r="S73" s="20">
        <v>20</v>
      </c>
      <c r="T73" s="15" t="s">
        <v>657</v>
      </c>
      <c r="U73" s="15" t="s">
        <v>546</v>
      </c>
      <c r="V73" s="15" t="s">
        <v>546</v>
      </c>
      <c r="W73" s="15" t="s">
        <v>646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5</v>
      </c>
      <c r="AJ73" s="20">
        <v>0</v>
      </c>
      <c r="AK73" s="20">
        <v>0</v>
      </c>
      <c r="AL73" s="20">
        <v>0</v>
      </c>
      <c r="AM73" s="20">
        <v>0</v>
      </c>
      <c r="AN73" s="20">
        <v>0</v>
      </c>
      <c r="AO73" s="20">
        <v>0</v>
      </c>
      <c r="AP73" s="20">
        <v>0</v>
      </c>
      <c r="AQ73" s="20">
        <v>0</v>
      </c>
      <c r="AR73" s="20">
        <v>0</v>
      </c>
      <c r="AS73" s="20">
        <v>0</v>
      </c>
      <c r="AT73" s="20">
        <v>0</v>
      </c>
      <c r="AU73" s="15" t="s">
        <v>646</v>
      </c>
      <c r="AV73" s="20">
        <v>100</v>
      </c>
      <c r="AX73" s="1" t="s">
        <v>646</v>
      </c>
      <c r="AY73" s="14" t="str">
        <f>HYPERLINK("#일위대가목록!A17", "▶바로가기")</f>
        <v>▶바로가기</v>
      </c>
    </row>
    <row r="74" spans="1:51" ht="28.5" customHeight="1" x14ac:dyDescent="0.3">
      <c r="A74" s="21" t="s">
        <v>263</v>
      </c>
      <c r="B74" s="17" t="s">
        <v>530</v>
      </c>
      <c r="C74" s="21" t="s">
        <v>128</v>
      </c>
      <c r="D74" s="24">
        <v>50</v>
      </c>
      <c r="E74" s="11"/>
      <c r="F74" s="4"/>
      <c r="G74" s="11"/>
      <c r="H74" s="4"/>
      <c r="I74" s="11"/>
      <c r="J74" s="4"/>
      <c r="K74" s="11"/>
      <c r="L74" s="4"/>
      <c r="M74" s="17" t="s">
        <v>646</v>
      </c>
      <c r="N74" s="3" t="str">
        <f>HYPERLINK("#일위대가목록!A18", "AD0203100600")</f>
        <v>AD0203100600</v>
      </c>
      <c r="O74" s="15" t="s">
        <v>646</v>
      </c>
      <c r="P74" s="15" t="s">
        <v>646</v>
      </c>
      <c r="Q74" s="15" t="s">
        <v>554</v>
      </c>
      <c r="R74" s="20">
        <v>592989</v>
      </c>
      <c r="S74" s="20">
        <v>30</v>
      </c>
      <c r="T74" s="15" t="s">
        <v>657</v>
      </c>
      <c r="U74" s="15" t="s">
        <v>546</v>
      </c>
      <c r="V74" s="15" t="s">
        <v>546</v>
      </c>
      <c r="W74" s="15" t="s">
        <v>646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0</v>
      </c>
      <c r="AH74" s="20">
        <v>0</v>
      </c>
      <c r="AI74" s="20">
        <v>5</v>
      </c>
      <c r="AJ74" s="20">
        <v>0</v>
      </c>
      <c r="AK74" s="20">
        <v>0</v>
      </c>
      <c r="AL74" s="20">
        <v>0</v>
      </c>
      <c r="AM74" s="20">
        <v>0</v>
      </c>
      <c r="AN74" s="20">
        <v>0</v>
      </c>
      <c r="AO74" s="20">
        <v>0</v>
      </c>
      <c r="AP74" s="20">
        <v>0</v>
      </c>
      <c r="AQ74" s="20">
        <v>0</v>
      </c>
      <c r="AR74" s="20">
        <v>0</v>
      </c>
      <c r="AS74" s="20">
        <v>0</v>
      </c>
      <c r="AT74" s="20">
        <v>0</v>
      </c>
      <c r="AU74" s="15" t="s">
        <v>646</v>
      </c>
      <c r="AV74" s="20">
        <v>100</v>
      </c>
      <c r="AX74" s="1" t="s">
        <v>646</v>
      </c>
      <c r="AY74" s="14" t="str">
        <f>HYPERLINK("#일위대가목록!A18", "▶바로가기")</f>
        <v>▶바로가기</v>
      </c>
    </row>
    <row r="75" spans="1:51" ht="28.5" customHeight="1" x14ac:dyDescent="0.3">
      <c r="A75" s="21" t="s">
        <v>122</v>
      </c>
      <c r="B75" s="17" t="s">
        <v>326</v>
      </c>
      <c r="C75" s="21" t="s">
        <v>128</v>
      </c>
      <c r="D75" s="24">
        <v>0.8</v>
      </c>
      <c r="E75" s="11"/>
      <c r="F75" s="4"/>
      <c r="G75" s="11"/>
      <c r="H75" s="4"/>
      <c r="I75" s="11"/>
      <c r="J75" s="4"/>
      <c r="K75" s="11"/>
      <c r="L75" s="4"/>
      <c r="M75" s="17"/>
      <c r="N75" s="3" t="str">
        <f>HYPERLINK("#단가대비표!B46", "ZA00000000000003")</f>
        <v>ZA00000000000003</v>
      </c>
      <c r="O75" s="15" t="s">
        <v>646</v>
      </c>
      <c r="P75" s="15" t="s">
        <v>646</v>
      </c>
      <c r="Q75" s="15" t="s">
        <v>554</v>
      </c>
      <c r="R75" s="20">
        <v>592989</v>
      </c>
      <c r="S75" s="20">
        <v>40</v>
      </c>
      <c r="T75" s="15" t="s">
        <v>546</v>
      </c>
      <c r="U75" s="15" t="s">
        <v>546</v>
      </c>
      <c r="V75" s="15" t="s">
        <v>657</v>
      </c>
      <c r="W75" s="15" t="s">
        <v>646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5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0</v>
      </c>
      <c r="AQ75" s="20">
        <v>0</v>
      </c>
      <c r="AR75" s="20">
        <v>0</v>
      </c>
      <c r="AS75" s="20">
        <v>0</v>
      </c>
      <c r="AT75" s="20">
        <v>0</v>
      </c>
      <c r="AU75" s="15"/>
      <c r="AV75" s="20">
        <v>100</v>
      </c>
      <c r="AX75" s="1" t="s">
        <v>646</v>
      </c>
      <c r="AY75" s="14" t="str">
        <f>HYPERLINK("#단가대비표!B46", "▶바로가기")</f>
        <v>▶바로가기</v>
      </c>
    </row>
    <row r="76" spans="1:51" ht="28.5" customHeight="1" x14ac:dyDescent="0.3">
      <c r="A76" s="21" t="s">
        <v>646</v>
      </c>
      <c r="B76" s="21" t="s">
        <v>646</v>
      </c>
      <c r="C76" s="21" t="s">
        <v>646</v>
      </c>
      <c r="D76" s="4">
        <v>0</v>
      </c>
      <c r="E76" s="11"/>
      <c r="F76" s="4"/>
      <c r="G76" s="11"/>
      <c r="H76" s="4"/>
      <c r="I76" s="11"/>
      <c r="J76" s="4"/>
      <c r="K76" s="11"/>
      <c r="L76" s="4"/>
      <c r="M76" s="21" t="s">
        <v>646</v>
      </c>
      <c r="N76" s="21" t="s">
        <v>646</v>
      </c>
      <c r="O76" s="21" t="s">
        <v>646</v>
      </c>
      <c r="P76" s="21" t="s">
        <v>646</v>
      </c>
      <c r="AU76" s="15"/>
      <c r="AV76" s="20">
        <v>0</v>
      </c>
    </row>
    <row r="77" spans="1:51" ht="28.5" customHeight="1" x14ac:dyDescent="0.3">
      <c r="A77" s="21" t="s">
        <v>646</v>
      </c>
      <c r="B77" s="21" t="s">
        <v>646</v>
      </c>
      <c r="C77" s="21" t="s">
        <v>646</v>
      </c>
      <c r="D77" s="4">
        <v>0</v>
      </c>
      <c r="E77" s="11"/>
      <c r="F77" s="4"/>
      <c r="G77" s="11"/>
      <c r="H77" s="4"/>
      <c r="I77" s="11"/>
      <c r="J77" s="4"/>
      <c r="K77" s="11"/>
      <c r="L77" s="4"/>
      <c r="M77" s="21" t="s">
        <v>646</v>
      </c>
      <c r="N77" s="21" t="s">
        <v>646</v>
      </c>
      <c r="O77" s="21" t="s">
        <v>646</v>
      </c>
      <c r="P77" s="21" t="s">
        <v>646</v>
      </c>
      <c r="AU77" s="15"/>
      <c r="AV77" s="20">
        <v>0</v>
      </c>
    </row>
    <row r="78" spans="1:51" ht="28.5" customHeight="1" x14ac:dyDescent="0.3">
      <c r="A78" s="21" t="s">
        <v>646</v>
      </c>
      <c r="B78" s="21" t="s">
        <v>646</v>
      </c>
      <c r="C78" s="21" t="s">
        <v>646</v>
      </c>
      <c r="D78" s="4">
        <v>0</v>
      </c>
      <c r="E78" s="11"/>
      <c r="F78" s="4"/>
      <c r="G78" s="11"/>
      <c r="H78" s="4"/>
      <c r="I78" s="11"/>
      <c r="J78" s="4"/>
      <c r="K78" s="11"/>
      <c r="L78" s="4"/>
      <c r="M78" s="21" t="s">
        <v>646</v>
      </c>
      <c r="N78" s="21" t="s">
        <v>646</v>
      </c>
      <c r="O78" s="21" t="s">
        <v>646</v>
      </c>
      <c r="P78" s="21" t="s">
        <v>646</v>
      </c>
      <c r="AU78" s="15"/>
      <c r="AV78" s="20">
        <v>0</v>
      </c>
    </row>
    <row r="79" spans="1:51" ht="28.5" customHeight="1" x14ac:dyDescent="0.3">
      <c r="A79" s="21" t="s">
        <v>646</v>
      </c>
      <c r="B79" s="21" t="s">
        <v>646</v>
      </c>
      <c r="C79" s="21" t="s">
        <v>646</v>
      </c>
      <c r="D79" s="4">
        <v>0</v>
      </c>
      <c r="E79" s="11"/>
      <c r="F79" s="4"/>
      <c r="G79" s="11"/>
      <c r="H79" s="4"/>
      <c r="I79" s="11"/>
      <c r="J79" s="4"/>
      <c r="K79" s="11"/>
      <c r="L79" s="4"/>
      <c r="M79" s="21" t="s">
        <v>646</v>
      </c>
      <c r="N79" s="21" t="s">
        <v>646</v>
      </c>
      <c r="O79" s="21" t="s">
        <v>646</v>
      </c>
      <c r="P79" s="21" t="s">
        <v>646</v>
      </c>
      <c r="AU79" s="15"/>
      <c r="AV79" s="20">
        <v>0</v>
      </c>
    </row>
    <row r="80" spans="1:51" ht="28.5" customHeight="1" x14ac:dyDescent="0.3">
      <c r="A80" s="21" t="s">
        <v>646</v>
      </c>
      <c r="B80" s="21" t="s">
        <v>646</v>
      </c>
      <c r="C80" s="21" t="s">
        <v>646</v>
      </c>
      <c r="D80" s="4">
        <v>0</v>
      </c>
      <c r="E80" s="11"/>
      <c r="F80" s="4"/>
      <c r="G80" s="11"/>
      <c r="H80" s="4"/>
      <c r="I80" s="11"/>
      <c r="J80" s="4"/>
      <c r="K80" s="11"/>
      <c r="L80" s="4"/>
      <c r="M80" s="21" t="s">
        <v>646</v>
      </c>
      <c r="N80" s="21" t="s">
        <v>646</v>
      </c>
      <c r="O80" s="21" t="s">
        <v>646</v>
      </c>
      <c r="P80" s="21" t="s">
        <v>646</v>
      </c>
      <c r="AU80" s="15"/>
      <c r="AV80" s="20">
        <v>0</v>
      </c>
    </row>
    <row r="81" spans="1:51" ht="28.5" customHeight="1" x14ac:dyDescent="0.3">
      <c r="A81" s="21" t="s">
        <v>646</v>
      </c>
      <c r="B81" s="21" t="s">
        <v>646</v>
      </c>
      <c r="C81" s="21" t="s">
        <v>646</v>
      </c>
      <c r="D81" s="4">
        <v>0</v>
      </c>
      <c r="E81" s="11"/>
      <c r="F81" s="4"/>
      <c r="G81" s="11"/>
      <c r="H81" s="4"/>
      <c r="I81" s="11"/>
      <c r="J81" s="4"/>
      <c r="K81" s="11"/>
      <c r="L81" s="4"/>
      <c r="M81" s="21" t="s">
        <v>646</v>
      </c>
      <c r="N81" s="21" t="s">
        <v>646</v>
      </c>
      <c r="O81" s="21" t="s">
        <v>646</v>
      </c>
      <c r="P81" s="21" t="s">
        <v>646</v>
      </c>
      <c r="AU81" s="15"/>
      <c r="AV81" s="20">
        <v>0</v>
      </c>
    </row>
    <row r="82" spans="1:51" ht="28.5" customHeight="1" x14ac:dyDescent="0.3">
      <c r="A82" s="21" t="s">
        <v>646</v>
      </c>
      <c r="B82" s="21" t="s">
        <v>646</v>
      </c>
      <c r="C82" s="21" t="s">
        <v>646</v>
      </c>
      <c r="D82" s="4">
        <v>0</v>
      </c>
      <c r="E82" s="11"/>
      <c r="F82" s="4"/>
      <c r="G82" s="11"/>
      <c r="H82" s="4"/>
      <c r="I82" s="11"/>
      <c r="J82" s="4"/>
      <c r="K82" s="11"/>
      <c r="L82" s="4"/>
      <c r="M82" s="21" t="s">
        <v>646</v>
      </c>
      <c r="N82" s="21" t="s">
        <v>646</v>
      </c>
      <c r="O82" s="21" t="s">
        <v>646</v>
      </c>
      <c r="P82" s="21" t="s">
        <v>646</v>
      </c>
      <c r="AU82" s="15"/>
      <c r="AV82" s="20">
        <v>0</v>
      </c>
    </row>
    <row r="83" spans="1:51" ht="28.5" customHeight="1" x14ac:dyDescent="0.3">
      <c r="A83" s="21" t="s">
        <v>646</v>
      </c>
      <c r="B83" s="21" t="s">
        <v>646</v>
      </c>
      <c r="C83" s="21" t="s">
        <v>646</v>
      </c>
      <c r="D83" s="4">
        <v>0</v>
      </c>
      <c r="E83" s="11"/>
      <c r="F83" s="4"/>
      <c r="G83" s="11"/>
      <c r="H83" s="4"/>
      <c r="I83" s="11"/>
      <c r="J83" s="4"/>
      <c r="K83" s="11"/>
      <c r="L83" s="4"/>
      <c r="M83" s="21" t="s">
        <v>646</v>
      </c>
      <c r="N83" s="21" t="s">
        <v>646</v>
      </c>
      <c r="O83" s="21" t="s">
        <v>646</v>
      </c>
      <c r="P83" s="21" t="s">
        <v>646</v>
      </c>
      <c r="AU83" s="15"/>
      <c r="AV83" s="20">
        <v>0</v>
      </c>
    </row>
    <row r="84" spans="1:51" ht="28.5" customHeight="1" x14ac:dyDescent="0.3">
      <c r="A84" s="21" t="s">
        <v>646</v>
      </c>
      <c r="B84" s="21" t="s">
        <v>646</v>
      </c>
      <c r="C84" s="21" t="s">
        <v>646</v>
      </c>
      <c r="D84" s="4">
        <v>0</v>
      </c>
      <c r="E84" s="11"/>
      <c r="F84" s="4"/>
      <c r="G84" s="11"/>
      <c r="H84" s="4"/>
      <c r="I84" s="11"/>
      <c r="J84" s="4"/>
      <c r="K84" s="11"/>
      <c r="L84" s="4"/>
      <c r="M84" s="21" t="s">
        <v>646</v>
      </c>
      <c r="N84" s="21" t="s">
        <v>646</v>
      </c>
      <c r="O84" s="21" t="s">
        <v>646</v>
      </c>
      <c r="P84" s="21" t="s">
        <v>646</v>
      </c>
      <c r="AU84" s="15"/>
      <c r="AV84" s="20">
        <v>0</v>
      </c>
    </row>
    <row r="85" spans="1:51" ht="28.5" customHeight="1" x14ac:dyDescent="0.3">
      <c r="A85" s="21" t="s">
        <v>646</v>
      </c>
      <c r="B85" s="21" t="s">
        <v>646</v>
      </c>
      <c r="C85" s="21" t="s">
        <v>646</v>
      </c>
      <c r="D85" s="4">
        <v>0</v>
      </c>
      <c r="E85" s="11"/>
      <c r="F85" s="4"/>
      <c r="G85" s="11"/>
      <c r="H85" s="4"/>
      <c r="I85" s="11"/>
      <c r="J85" s="4"/>
      <c r="K85" s="11"/>
      <c r="L85" s="4"/>
      <c r="M85" s="21" t="s">
        <v>646</v>
      </c>
      <c r="N85" s="21" t="s">
        <v>646</v>
      </c>
      <c r="O85" s="21" t="s">
        <v>646</v>
      </c>
      <c r="P85" s="21" t="s">
        <v>646</v>
      </c>
      <c r="AU85" s="15"/>
      <c r="AV85" s="20">
        <v>0</v>
      </c>
    </row>
    <row r="86" spans="1:51" ht="28.5" customHeight="1" x14ac:dyDescent="0.3">
      <c r="A86" s="21" t="s">
        <v>646</v>
      </c>
      <c r="B86" s="21" t="s">
        <v>646</v>
      </c>
      <c r="C86" s="21" t="s">
        <v>646</v>
      </c>
      <c r="D86" s="4">
        <v>0</v>
      </c>
      <c r="E86" s="11"/>
      <c r="F86" s="4"/>
      <c r="G86" s="11"/>
      <c r="H86" s="4"/>
      <c r="I86" s="11"/>
      <c r="J86" s="4"/>
      <c r="K86" s="11"/>
      <c r="L86" s="4"/>
      <c r="M86" s="21" t="s">
        <v>646</v>
      </c>
      <c r="N86" s="21" t="s">
        <v>646</v>
      </c>
      <c r="O86" s="21" t="s">
        <v>646</v>
      </c>
      <c r="P86" s="21" t="s">
        <v>646</v>
      </c>
      <c r="AU86" s="15"/>
      <c r="AV86" s="20">
        <v>0</v>
      </c>
    </row>
    <row r="87" spans="1:51" ht="28.5" customHeight="1" x14ac:dyDescent="0.3">
      <c r="A87" s="21" t="s">
        <v>646</v>
      </c>
      <c r="B87" s="21" t="s">
        <v>646</v>
      </c>
      <c r="C87" s="21" t="s">
        <v>646</v>
      </c>
      <c r="D87" s="4">
        <v>0</v>
      </c>
      <c r="E87" s="11"/>
      <c r="F87" s="4"/>
      <c r="G87" s="11"/>
      <c r="H87" s="4"/>
      <c r="I87" s="11"/>
      <c r="J87" s="4"/>
      <c r="K87" s="11"/>
      <c r="L87" s="4"/>
      <c r="M87" s="21" t="s">
        <v>646</v>
      </c>
      <c r="N87" s="21" t="s">
        <v>646</v>
      </c>
      <c r="O87" s="21" t="s">
        <v>646</v>
      </c>
      <c r="P87" s="21" t="s">
        <v>646</v>
      </c>
      <c r="AU87" s="15"/>
      <c r="AV87" s="20">
        <v>0</v>
      </c>
    </row>
    <row r="88" spans="1:51" ht="28.5" customHeight="1" x14ac:dyDescent="0.3">
      <c r="A88" s="21" t="s">
        <v>646</v>
      </c>
      <c r="B88" s="21" t="s">
        <v>646</v>
      </c>
      <c r="C88" s="21" t="s">
        <v>646</v>
      </c>
      <c r="D88" s="4">
        <v>0</v>
      </c>
      <c r="E88" s="11"/>
      <c r="F88" s="4"/>
      <c r="G88" s="11"/>
      <c r="H88" s="4"/>
      <c r="I88" s="11"/>
      <c r="J88" s="4"/>
      <c r="K88" s="11"/>
      <c r="L88" s="4"/>
      <c r="M88" s="21" t="s">
        <v>646</v>
      </c>
      <c r="N88" s="21" t="s">
        <v>646</v>
      </c>
      <c r="O88" s="21" t="s">
        <v>646</v>
      </c>
      <c r="P88" s="21" t="s">
        <v>646</v>
      </c>
      <c r="AU88" s="15"/>
      <c r="AV88" s="20">
        <v>0</v>
      </c>
    </row>
    <row r="89" spans="1:51" ht="28.5" customHeight="1" x14ac:dyDescent="0.3">
      <c r="A89" s="21" t="s">
        <v>646</v>
      </c>
      <c r="B89" s="21" t="s">
        <v>646</v>
      </c>
      <c r="C89" s="21" t="s">
        <v>646</v>
      </c>
      <c r="D89" s="4">
        <v>0</v>
      </c>
      <c r="E89" s="11"/>
      <c r="F89" s="4"/>
      <c r="G89" s="11"/>
      <c r="H89" s="4"/>
      <c r="I89" s="11"/>
      <c r="J89" s="4"/>
      <c r="K89" s="11"/>
      <c r="L89" s="4"/>
      <c r="M89" s="21" t="s">
        <v>646</v>
      </c>
      <c r="N89" s="21" t="s">
        <v>646</v>
      </c>
      <c r="O89" s="21" t="s">
        <v>646</v>
      </c>
      <c r="P89" s="21" t="s">
        <v>646</v>
      </c>
      <c r="AU89" s="15"/>
      <c r="AV89" s="20">
        <v>0</v>
      </c>
    </row>
    <row r="90" spans="1:51" ht="28.5" customHeight="1" x14ac:dyDescent="0.3">
      <c r="A90" s="21" t="s">
        <v>646</v>
      </c>
      <c r="B90" s="21" t="s">
        <v>646</v>
      </c>
      <c r="C90" s="21" t="s">
        <v>646</v>
      </c>
      <c r="D90" s="4">
        <v>0</v>
      </c>
      <c r="E90" s="11"/>
      <c r="F90" s="4"/>
      <c r="G90" s="11"/>
      <c r="H90" s="4"/>
      <c r="I90" s="11"/>
      <c r="J90" s="4"/>
      <c r="K90" s="11"/>
      <c r="L90" s="4"/>
      <c r="M90" s="21" t="s">
        <v>646</v>
      </c>
      <c r="N90" s="21" t="s">
        <v>646</v>
      </c>
      <c r="O90" s="21" t="s">
        <v>646</v>
      </c>
      <c r="P90" s="21" t="s">
        <v>646</v>
      </c>
      <c r="AU90" s="15"/>
      <c r="AV90" s="20">
        <v>0</v>
      </c>
    </row>
    <row r="91" spans="1:51" ht="28.5" customHeight="1" x14ac:dyDescent="0.3">
      <c r="A91" s="21" t="s">
        <v>646</v>
      </c>
      <c r="B91" s="21" t="s">
        <v>646</v>
      </c>
      <c r="C91" s="21" t="s">
        <v>646</v>
      </c>
      <c r="D91" s="4">
        <v>0</v>
      </c>
      <c r="E91" s="11"/>
      <c r="F91" s="4"/>
      <c r="G91" s="11"/>
      <c r="H91" s="4"/>
      <c r="I91" s="11"/>
      <c r="J91" s="4"/>
      <c r="K91" s="11"/>
      <c r="L91" s="4"/>
      <c r="M91" s="21" t="s">
        <v>646</v>
      </c>
      <c r="N91" s="21" t="s">
        <v>646</v>
      </c>
      <c r="O91" s="21" t="s">
        <v>646</v>
      </c>
      <c r="P91" s="21" t="s">
        <v>646</v>
      </c>
      <c r="AU91" s="15"/>
      <c r="AV91" s="20">
        <v>0</v>
      </c>
    </row>
    <row r="92" spans="1:51" ht="28.5" customHeight="1" x14ac:dyDescent="0.3">
      <c r="A92" s="21" t="s">
        <v>401</v>
      </c>
      <c r="B92" s="21" t="s">
        <v>646</v>
      </c>
      <c r="C92" s="21" t="s">
        <v>646</v>
      </c>
      <c r="D92" s="21" t="s">
        <v>646</v>
      </c>
      <c r="E92" s="2"/>
      <c r="F92" s="4"/>
      <c r="G92" s="4"/>
      <c r="H92" s="4"/>
      <c r="I92" s="4"/>
      <c r="J92" s="4"/>
      <c r="K92" s="10"/>
      <c r="L92" s="4"/>
      <c r="M92" s="21"/>
    </row>
    <row r="93" spans="1:51" ht="28.5" customHeight="1" x14ac:dyDescent="0.3">
      <c r="A93" s="7" t="s">
        <v>655</v>
      </c>
      <c r="B93" s="21"/>
      <c r="C93" s="21"/>
      <c r="D93" s="21" t="s">
        <v>646</v>
      </c>
      <c r="E93" s="21"/>
      <c r="F93" s="21"/>
      <c r="G93" s="21"/>
      <c r="H93" s="21"/>
      <c r="I93" s="21"/>
      <c r="J93" s="21"/>
      <c r="K93" s="21"/>
      <c r="L93" s="21"/>
      <c r="M93" s="21" t="s">
        <v>646</v>
      </c>
      <c r="N93" s="25" t="s">
        <v>646</v>
      </c>
      <c r="Q93" s="15" t="s">
        <v>700</v>
      </c>
      <c r="R93" s="20">
        <v>592990</v>
      </c>
      <c r="S93" s="20">
        <v>0</v>
      </c>
      <c r="AH93" s="15"/>
    </row>
    <row r="94" spans="1:51" ht="28.5" customHeight="1" x14ac:dyDescent="0.3">
      <c r="A94" s="21" t="s">
        <v>518</v>
      </c>
      <c r="B94" s="17" t="s">
        <v>454</v>
      </c>
      <c r="C94" s="21" t="s">
        <v>128</v>
      </c>
      <c r="D94" s="24">
        <v>73.8</v>
      </c>
      <c r="E94" s="11"/>
      <c r="F94" s="4"/>
      <c r="G94" s="11"/>
      <c r="H94" s="4"/>
      <c r="I94" s="11"/>
      <c r="J94" s="4"/>
      <c r="K94" s="11"/>
      <c r="L94" s="4"/>
      <c r="M94" s="17" t="s">
        <v>646</v>
      </c>
      <c r="N94" s="3" t="str">
        <f>HYPERLINK("#일위대가목록!A19", "AK0209000400")</f>
        <v>AK0209000400</v>
      </c>
      <c r="O94" s="15" t="s">
        <v>646</v>
      </c>
      <c r="P94" s="15" t="s">
        <v>646</v>
      </c>
      <c r="Q94" s="15" t="s">
        <v>700</v>
      </c>
      <c r="R94" s="20">
        <v>592990</v>
      </c>
      <c r="S94" s="20">
        <v>10</v>
      </c>
      <c r="T94" s="15" t="s">
        <v>657</v>
      </c>
      <c r="U94" s="15" t="s">
        <v>546</v>
      </c>
      <c r="V94" s="15" t="s">
        <v>546</v>
      </c>
      <c r="W94" s="15" t="s">
        <v>646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0</v>
      </c>
      <c r="AI94" s="20">
        <v>42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0">
        <v>0</v>
      </c>
      <c r="AP94" s="20">
        <v>0</v>
      </c>
      <c r="AQ94" s="20">
        <v>0</v>
      </c>
      <c r="AR94" s="20">
        <v>0</v>
      </c>
      <c r="AS94" s="20">
        <v>0</v>
      </c>
      <c r="AT94" s="20">
        <v>0</v>
      </c>
      <c r="AU94" s="15" t="s">
        <v>646</v>
      </c>
      <c r="AV94" s="20">
        <v>100</v>
      </c>
      <c r="AX94" s="1" t="s">
        <v>646</v>
      </c>
      <c r="AY94" s="14" t="str">
        <f>HYPERLINK("#일위대가목록!A19", "▶바로가기")</f>
        <v>▶바로가기</v>
      </c>
    </row>
    <row r="95" spans="1:51" ht="28.5" customHeight="1" x14ac:dyDescent="0.3">
      <c r="A95" s="21" t="s">
        <v>42</v>
      </c>
      <c r="B95" s="17" t="s">
        <v>363</v>
      </c>
      <c r="C95" s="21" t="s">
        <v>128</v>
      </c>
      <c r="D95" s="24">
        <v>3.6</v>
      </c>
      <c r="E95" s="11"/>
      <c r="F95" s="4"/>
      <c r="G95" s="11"/>
      <c r="H95" s="4"/>
      <c r="I95" s="11"/>
      <c r="J95" s="4"/>
      <c r="K95" s="11"/>
      <c r="L95" s="4"/>
      <c r="M95" s="17" t="s">
        <v>646</v>
      </c>
      <c r="N95" s="3" t="str">
        <f>HYPERLINK("#일위대가목록!A20", "AK0210000700")</f>
        <v>AK0210000700</v>
      </c>
      <c r="O95" s="15" t="s">
        <v>646</v>
      </c>
      <c r="P95" s="15" t="s">
        <v>646</v>
      </c>
      <c r="Q95" s="15" t="s">
        <v>700</v>
      </c>
      <c r="R95" s="20">
        <v>592990</v>
      </c>
      <c r="S95" s="20">
        <v>20</v>
      </c>
      <c r="T95" s="15" t="s">
        <v>657</v>
      </c>
      <c r="U95" s="15" t="s">
        <v>546</v>
      </c>
      <c r="V95" s="15" t="s">
        <v>546</v>
      </c>
      <c r="W95" s="15" t="s">
        <v>646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0</v>
      </c>
      <c r="AI95" s="20">
        <v>42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0</v>
      </c>
      <c r="AQ95" s="20">
        <v>0</v>
      </c>
      <c r="AR95" s="20">
        <v>0</v>
      </c>
      <c r="AS95" s="20">
        <v>0</v>
      </c>
      <c r="AT95" s="20">
        <v>0</v>
      </c>
      <c r="AU95" s="15" t="s">
        <v>646</v>
      </c>
      <c r="AV95" s="20">
        <v>100</v>
      </c>
      <c r="AX95" s="1" t="s">
        <v>646</v>
      </c>
      <c r="AY95" s="14" t="str">
        <f>HYPERLINK("#일위대가목록!A20", "▶바로가기")</f>
        <v>▶바로가기</v>
      </c>
    </row>
    <row r="96" spans="1:51" ht="28.5" customHeight="1" x14ac:dyDescent="0.3">
      <c r="A96" s="21" t="s">
        <v>646</v>
      </c>
      <c r="B96" s="21" t="s">
        <v>646</v>
      </c>
      <c r="C96" s="21" t="s">
        <v>646</v>
      </c>
      <c r="D96" s="4">
        <v>0</v>
      </c>
      <c r="E96" s="11"/>
      <c r="F96" s="4"/>
      <c r="G96" s="11"/>
      <c r="H96" s="4"/>
      <c r="I96" s="11"/>
      <c r="J96" s="4"/>
      <c r="K96" s="11"/>
      <c r="L96" s="4"/>
      <c r="M96" s="21" t="s">
        <v>646</v>
      </c>
      <c r="N96" s="21" t="s">
        <v>646</v>
      </c>
      <c r="O96" s="21" t="s">
        <v>646</v>
      </c>
      <c r="P96" s="21" t="s">
        <v>646</v>
      </c>
      <c r="AU96" s="15"/>
      <c r="AV96" s="20">
        <v>0</v>
      </c>
    </row>
    <row r="97" spans="1:48" ht="28.5" customHeight="1" x14ac:dyDescent="0.3">
      <c r="A97" s="21" t="s">
        <v>646</v>
      </c>
      <c r="B97" s="21" t="s">
        <v>646</v>
      </c>
      <c r="C97" s="21" t="s">
        <v>646</v>
      </c>
      <c r="D97" s="4">
        <v>0</v>
      </c>
      <c r="E97" s="11"/>
      <c r="F97" s="4"/>
      <c r="G97" s="11"/>
      <c r="H97" s="4"/>
      <c r="I97" s="11"/>
      <c r="J97" s="4"/>
      <c r="K97" s="11"/>
      <c r="L97" s="4"/>
      <c r="M97" s="21" t="s">
        <v>646</v>
      </c>
      <c r="N97" s="21" t="s">
        <v>646</v>
      </c>
      <c r="O97" s="21" t="s">
        <v>646</v>
      </c>
      <c r="P97" s="21" t="s">
        <v>646</v>
      </c>
      <c r="AU97" s="15"/>
      <c r="AV97" s="20">
        <v>0</v>
      </c>
    </row>
    <row r="98" spans="1:48" ht="28.5" customHeight="1" x14ac:dyDescent="0.3">
      <c r="A98" s="21" t="s">
        <v>646</v>
      </c>
      <c r="B98" s="21" t="s">
        <v>646</v>
      </c>
      <c r="C98" s="21" t="s">
        <v>646</v>
      </c>
      <c r="D98" s="4">
        <v>0</v>
      </c>
      <c r="E98" s="11"/>
      <c r="F98" s="4"/>
      <c r="G98" s="11"/>
      <c r="H98" s="4"/>
      <c r="I98" s="11"/>
      <c r="J98" s="4"/>
      <c r="K98" s="11"/>
      <c r="L98" s="4"/>
      <c r="M98" s="21" t="s">
        <v>646</v>
      </c>
      <c r="N98" s="21" t="s">
        <v>646</v>
      </c>
      <c r="O98" s="21" t="s">
        <v>646</v>
      </c>
      <c r="P98" s="21" t="s">
        <v>646</v>
      </c>
      <c r="AU98" s="15"/>
      <c r="AV98" s="20">
        <v>0</v>
      </c>
    </row>
    <row r="99" spans="1:48" ht="28.5" customHeight="1" x14ac:dyDescent="0.3">
      <c r="A99" s="21" t="s">
        <v>646</v>
      </c>
      <c r="B99" s="21" t="s">
        <v>646</v>
      </c>
      <c r="C99" s="21" t="s">
        <v>646</v>
      </c>
      <c r="D99" s="4">
        <v>0</v>
      </c>
      <c r="E99" s="11"/>
      <c r="F99" s="4"/>
      <c r="G99" s="11"/>
      <c r="H99" s="4"/>
      <c r="I99" s="11"/>
      <c r="J99" s="4"/>
      <c r="K99" s="11"/>
      <c r="L99" s="4"/>
      <c r="M99" s="21" t="s">
        <v>646</v>
      </c>
      <c r="N99" s="21" t="s">
        <v>646</v>
      </c>
      <c r="O99" s="21" t="s">
        <v>646</v>
      </c>
      <c r="P99" s="21" t="s">
        <v>646</v>
      </c>
      <c r="AU99" s="15"/>
      <c r="AV99" s="20">
        <v>0</v>
      </c>
    </row>
    <row r="100" spans="1:48" ht="28.5" customHeight="1" x14ac:dyDescent="0.3">
      <c r="A100" s="21" t="s">
        <v>646</v>
      </c>
      <c r="B100" s="21" t="s">
        <v>646</v>
      </c>
      <c r="C100" s="21" t="s">
        <v>646</v>
      </c>
      <c r="D100" s="4">
        <v>0</v>
      </c>
      <c r="E100" s="11"/>
      <c r="F100" s="4"/>
      <c r="G100" s="11"/>
      <c r="H100" s="4"/>
      <c r="I100" s="11"/>
      <c r="J100" s="4"/>
      <c r="K100" s="11"/>
      <c r="L100" s="4"/>
      <c r="M100" s="21" t="s">
        <v>646</v>
      </c>
      <c r="N100" s="21" t="s">
        <v>646</v>
      </c>
      <c r="O100" s="21" t="s">
        <v>646</v>
      </c>
      <c r="P100" s="21" t="s">
        <v>646</v>
      </c>
      <c r="AU100" s="15"/>
      <c r="AV100" s="20">
        <v>0</v>
      </c>
    </row>
    <row r="101" spans="1:48" ht="28.5" customHeight="1" x14ac:dyDescent="0.3">
      <c r="A101" s="21" t="s">
        <v>646</v>
      </c>
      <c r="B101" s="21" t="s">
        <v>646</v>
      </c>
      <c r="C101" s="21" t="s">
        <v>646</v>
      </c>
      <c r="D101" s="4">
        <v>0</v>
      </c>
      <c r="E101" s="11"/>
      <c r="F101" s="4"/>
      <c r="G101" s="11"/>
      <c r="H101" s="4"/>
      <c r="I101" s="11"/>
      <c r="J101" s="4"/>
      <c r="K101" s="11"/>
      <c r="L101" s="4"/>
      <c r="M101" s="21" t="s">
        <v>646</v>
      </c>
      <c r="N101" s="21" t="s">
        <v>646</v>
      </c>
      <c r="O101" s="21" t="s">
        <v>646</v>
      </c>
      <c r="P101" s="21" t="s">
        <v>646</v>
      </c>
      <c r="AU101" s="15"/>
      <c r="AV101" s="20">
        <v>0</v>
      </c>
    </row>
    <row r="102" spans="1:48" ht="28.5" customHeight="1" x14ac:dyDescent="0.3">
      <c r="A102" s="21" t="s">
        <v>646</v>
      </c>
      <c r="B102" s="21" t="s">
        <v>646</v>
      </c>
      <c r="C102" s="21" t="s">
        <v>646</v>
      </c>
      <c r="D102" s="4">
        <v>0</v>
      </c>
      <c r="E102" s="11"/>
      <c r="F102" s="4"/>
      <c r="G102" s="11"/>
      <c r="H102" s="4"/>
      <c r="I102" s="11"/>
      <c r="J102" s="4"/>
      <c r="K102" s="11"/>
      <c r="L102" s="4"/>
      <c r="M102" s="21" t="s">
        <v>646</v>
      </c>
      <c r="N102" s="21" t="s">
        <v>646</v>
      </c>
      <c r="O102" s="21" t="s">
        <v>646</v>
      </c>
      <c r="P102" s="21" t="s">
        <v>646</v>
      </c>
      <c r="AU102" s="15"/>
      <c r="AV102" s="20">
        <v>0</v>
      </c>
    </row>
    <row r="103" spans="1:48" ht="28.5" customHeight="1" x14ac:dyDescent="0.3">
      <c r="A103" s="21" t="s">
        <v>646</v>
      </c>
      <c r="B103" s="21" t="s">
        <v>646</v>
      </c>
      <c r="C103" s="21" t="s">
        <v>646</v>
      </c>
      <c r="D103" s="4">
        <v>0</v>
      </c>
      <c r="E103" s="11"/>
      <c r="F103" s="4"/>
      <c r="G103" s="11"/>
      <c r="H103" s="4"/>
      <c r="I103" s="11"/>
      <c r="J103" s="4"/>
      <c r="K103" s="11"/>
      <c r="L103" s="4"/>
      <c r="M103" s="21" t="s">
        <v>646</v>
      </c>
      <c r="N103" s="21" t="s">
        <v>646</v>
      </c>
      <c r="O103" s="21" t="s">
        <v>646</v>
      </c>
      <c r="P103" s="21" t="s">
        <v>646</v>
      </c>
      <c r="AU103" s="15"/>
      <c r="AV103" s="20">
        <v>0</v>
      </c>
    </row>
    <row r="104" spans="1:48" ht="28.5" customHeight="1" x14ac:dyDescent="0.3">
      <c r="A104" s="21" t="s">
        <v>646</v>
      </c>
      <c r="B104" s="21" t="s">
        <v>646</v>
      </c>
      <c r="C104" s="21" t="s">
        <v>646</v>
      </c>
      <c r="D104" s="4">
        <v>0</v>
      </c>
      <c r="E104" s="11"/>
      <c r="F104" s="4"/>
      <c r="G104" s="11"/>
      <c r="H104" s="4"/>
      <c r="I104" s="11"/>
      <c r="J104" s="4"/>
      <c r="K104" s="11"/>
      <c r="L104" s="4"/>
      <c r="M104" s="21" t="s">
        <v>646</v>
      </c>
      <c r="N104" s="21" t="s">
        <v>646</v>
      </c>
      <c r="O104" s="21" t="s">
        <v>646</v>
      </c>
      <c r="P104" s="21" t="s">
        <v>646</v>
      </c>
      <c r="AU104" s="15"/>
      <c r="AV104" s="20">
        <v>0</v>
      </c>
    </row>
    <row r="105" spans="1:48" ht="28.5" customHeight="1" x14ac:dyDescent="0.3">
      <c r="A105" s="21" t="s">
        <v>646</v>
      </c>
      <c r="B105" s="21" t="s">
        <v>646</v>
      </c>
      <c r="C105" s="21" t="s">
        <v>646</v>
      </c>
      <c r="D105" s="4">
        <v>0</v>
      </c>
      <c r="E105" s="11"/>
      <c r="F105" s="4"/>
      <c r="G105" s="11"/>
      <c r="H105" s="4"/>
      <c r="I105" s="11"/>
      <c r="J105" s="4"/>
      <c r="K105" s="11"/>
      <c r="L105" s="4"/>
      <c r="M105" s="21" t="s">
        <v>646</v>
      </c>
      <c r="N105" s="21" t="s">
        <v>646</v>
      </c>
      <c r="O105" s="21" t="s">
        <v>646</v>
      </c>
      <c r="P105" s="21" t="s">
        <v>646</v>
      </c>
      <c r="AU105" s="15"/>
      <c r="AV105" s="20">
        <v>0</v>
      </c>
    </row>
    <row r="106" spans="1:48" ht="28.5" customHeight="1" x14ac:dyDescent="0.3">
      <c r="A106" s="21" t="s">
        <v>646</v>
      </c>
      <c r="B106" s="21" t="s">
        <v>646</v>
      </c>
      <c r="C106" s="21" t="s">
        <v>646</v>
      </c>
      <c r="D106" s="4">
        <v>0</v>
      </c>
      <c r="E106" s="11"/>
      <c r="F106" s="4"/>
      <c r="G106" s="11"/>
      <c r="H106" s="4"/>
      <c r="I106" s="11"/>
      <c r="J106" s="4"/>
      <c r="K106" s="11"/>
      <c r="L106" s="4"/>
      <c r="M106" s="21" t="s">
        <v>646</v>
      </c>
      <c r="N106" s="21" t="s">
        <v>646</v>
      </c>
      <c r="O106" s="21" t="s">
        <v>646</v>
      </c>
      <c r="P106" s="21" t="s">
        <v>646</v>
      </c>
      <c r="AU106" s="15"/>
      <c r="AV106" s="20">
        <v>0</v>
      </c>
    </row>
    <row r="107" spans="1:48" ht="28.5" customHeight="1" x14ac:dyDescent="0.3">
      <c r="A107" s="21" t="s">
        <v>646</v>
      </c>
      <c r="B107" s="21" t="s">
        <v>646</v>
      </c>
      <c r="C107" s="21" t="s">
        <v>646</v>
      </c>
      <c r="D107" s="4">
        <v>0</v>
      </c>
      <c r="E107" s="11"/>
      <c r="F107" s="4"/>
      <c r="G107" s="11"/>
      <c r="H107" s="4"/>
      <c r="I107" s="11"/>
      <c r="J107" s="4"/>
      <c r="K107" s="11"/>
      <c r="L107" s="4"/>
      <c r="M107" s="21" t="s">
        <v>646</v>
      </c>
      <c r="N107" s="21" t="s">
        <v>646</v>
      </c>
      <c r="O107" s="21" t="s">
        <v>646</v>
      </c>
      <c r="P107" s="21" t="s">
        <v>646</v>
      </c>
      <c r="AU107" s="15"/>
      <c r="AV107" s="20">
        <v>0</v>
      </c>
    </row>
    <row r="108" spans="1:48" ht="28.5" customHeight="1" x14ac:dyDescent="0.3">
      <c r="A108" s="21" t="s">
        <v>646</v>
      </c>
      <c r="B108" s="21" t="s">
        <v>646</v>
      </c>
      <c r="C108" s="21" t="s">
        <v>646</v>
      </c>
      <c r="D108" s="4">
        <v>0</v>
      </c>
      <c r="E108" s="11"/>
      <c r="F108" s="4"/>
      <c r="G108" s="11"/>
      <c r="H108" s="4"/>
      <c r="I108" s="11"/>
      <c r="J108" s="4"/>
      <c r="K108" s="11"/>
      <c r="L108" s="4"/>
      <c r="M108" s="21" t="s">
        <v>646</v>
      </c>
      <c r="N108" s="21" t="s">
        <v>646</v>
      </c>
      <c r="O108" s="21" t="s">
        <v>646</v>
      </c>
      <c r="P108" s="21" t="s">
        <v>646</v>
      </c>
      <c r="AU108" s="15"/>
      <c r="AV108" s="20">
        <v>0</v>
      </c>
    </row>
    <row r="109" spans="1:48" ht="28.5" customHeight="1" x14ac:dyDescent="0.3">
      <c r="A109" s="21" t="s">
        <v>646</v>
      </c>
      <c r="B109" s="21" t="s">
        <v>646</v>
      </c>
      <c r="C109" s="21" t="s">
        <v>646</v>
      </c>
      <c r="D109" s="4">
        <v>0</v>
      </c>
      <c r="E109" s="11"/>
      <c r="F109" s="4"/>
      <c r="G109" s="11"/>
      <c r="H109" s="4"/>
      <c r="I109" s="11"/>
      <c r="J109" s="4"/>
      <c r="K109" s="11"/>
      <c r="L109" s="4"/>
      <c r="M109" s="21" t="s">
        <v>646</v>
      </c>
      <c r="N109" s="21" t="s">
        <v>646</v>
      </c>
      <c r="O109" s="21" t="s">
        <v>646</v>
      </c>
      <c r="P109" s="21" t="s">
        <v>646</v>
      </c>
      <c r="AU109" s="15"/>
      <c r="AV109" s="20">
        <v>0</v>
      </c>
    </row>
    <row r="110" spans="1:48" ht="28.5" customHeight="1" x14ac:dyDescent="0.3">
      <c r="A110" s="21" t="s">
        <v>646</v>
      </c>
      <c r="B110" s="21" t="s">
        <v>646</v>
      </c>
      <c r="C110" s="21" t="s">
        <v>646</v>
      </c>
      <c r="D110" s="4">
        <v>0</v>
      </c>
      <c r="E110" s="11"/>
      <c r="F110" s="4"/>
      <c r="G110" s="11"/>
      <c r="H110" s="4"/>
      <c r="I110" s="11"/>
      <c r="J110" s="4"/>
      <c r="K110" s="11"/>
      <c r="L110" s="4"/>
      <c r="M110" s="21" t="s">
        <v>646</v>
      </c>
      <c r="N110" s="21" t="s">
        <v>646</v>
      </c>
      <c r="O110" s="21" t="s">
        <v>646</v>
      </c>
      <c r="P110" s="21" t="s">
        <v>646</v>
      </c>
      <c r="AU110" s="15"/>
      <c r="AV110" s="20">
        <v>0</v>
      </c>
    </row>
    <row r="111" spans="1:48" ht="28.5" customHeight="1" x14ac:dyDescent="0.3">
      <c r="A111" s="21" t="s">
        <v>646</v>
      </c>
      <c r="B111" s="21" t="s">
        <v>646</v>
      </c>
      <c r="C111" s="21" t="s">
        <v>646</v>
      </c>
      <c r="D111" s="4">
        <v>0</v>
      </c>
      <c r="E111" s="11"/>
      <c r="F111" s="4"/>
      <c r="G111" s="11"/>
      <c r="H111" s="4"/>
      <c r="I111" s="11"/>
      <c r="J111" s="4"/>
      <c r="K111" s="11"/>
      <c r="L111" s="4"/>
      <c r="M111" s="21" t="s">
        <v>646</v>
      </c>
      <c r="N111" s="21" t="s">
        <v>646</v>
      </c>
      <c r="O111" s="21" t="s">
        <v>646</v>
      </c>
      <c r="P111" s="21" t="s">
        <v>646</v>
      </c>
      <c r="AU111" s="15"/>
      <c r="AV111" s="20">
        <v>0</v>
      </c>
    </row>
    <row r="112" spans="1:48" ht="28.5" customHeight="1" x14ac:dyDescent="0.3">
      <c r="A112" s="21" t="s">
        <v>646</v>
      </c>
      <c r="B112" s="21" t="s">
        <v>646</v>
      </c>
      <c r="C112" s="21" t="s">
        <v>646</v>
      </c>
      <c r="D112" s="4">
        <v>0</v>
      </c>
      <c r="E112" s="11"/>
      <c r="F112" s="4"/>
      <c r="G112" s="11"/>
      <c r="H112" s="4"/>
      <c r="I112" s="11"/>
      <c r="J112" s="4"/>
      <c r="K112" s="11"/>
      <c r="L112" s="4"/>
      <c r="M112" s="21" t="s">
        <v>646</v>
      </c>
      <c r="N112" s="21" t="s">
        <v>646</v>
      </c>
      <c r="O112" s="21" t="s">
        <v>646</v>
      </c>
      <c r="P112" s="21" t="s">
        <v>646</v>
      </c>
      <c r="AU112" s="15"/>
      <c r="AV112" s="20">
        <v>0</v>
      </c>
    </row>
    <row r="113" spans="1:51" ht="28.5" customHeight="1" x14ac:dyDescent="0.3">
      <c r="A113" s="21" t="s">
        <v>646</v>
      </c>
      <c r="B113" s="21" t="s">
        <v>646</v>
      </c>
      <c r="C113" s="21" t="s">
        <v>646</v>
      </c>
      <c r="D113" s="4">
        <v>0</v>
      </c>
      <c r="E113" s="11"/>
      <c r="F113" s="4"/>
      <c r="G113" s="11"/>
      <c r="H113" s="4"/>
      <c r="I113" s="11"/>
      <c r="J113" s="4"/>
      <c r="K113" s="11"/>
      <c r="L113" s="4"/>
      <c r="M113" s="21" t="s">
        <v>646</v>
      </c>
      <c r="N113" s="21" t="s">
        <v>646</v>
      </c>
      <c r="O113" s="21" t="s">
        <v>646</v>
      </c>
      <c r="P113" s="21" t="s">
        <v>646</v>
      </c>
      <c r="AU113" s="15"/>
      <c r="AV113" s="20">
        <v>0</v>
      </c>
    </row>
    <row r="114" spans="1:51" ht="28.5" customHeight="1" x14ac:dyDescent="0.3">
      <c r="A114" s="21" t="s">
        <v>401</v>
      </c>
      <c r="B114" s="21" t="s">
        <v>646</v>
      </c>
      <c r="C114" s="21" t="s">
        <v>646</v>
      </c>
      <c r="D114" s="21" t="s">
        <v>646</v>
      </c>
      <c r="E114" s="2"/>
      <c r="F114" s="4"/>
      <c r="G114" s="4"/>
      <c r="H114" s="4"/>
      <c r="I114" s="4"/>
      <c r="J114" s="4"/>
      <c r="K114" s="10"/>
      <c r="L114" s="4"/>
      <c r="M114" s="21"/>
    </row>
    <row r="115" spans="1:51" ht="28.5" customHeight="1" x14ac:dyDescent="0.3">
      <c r="A115" s="7" t="s">
        <v>213</v>
      </c>
      <c r="B115" s="21"/>
      <c r="C115" s="21"/>
      <c r="D115" s="21" t="s">
        <v>646</v>
      </c>
      <c r="E115" s="21"/>
      <c r="F115" s="21"/>
      <c r="G115" s="21"/>
      <c r="H115" s="21"/>
      <c r="I115" s="21"/>
      <c r="J115" s="21"/>
      <c r="K115" s="21"/>
      <c r="L115" s="21"/>
      <c r="M115" s="21" t="s">
        <v>646</v>
      </c>
      <c r="N115" s="25" t="s">
        <v>646</v>
      </c>
      <c r="Q115" s="15" t="s">
        <v>461</v>
      </c>
      <c r="R115" s="20">
        <v>670283</v>
      </c>
      <c r="S115" s="20">
        <v>0</v>
      </c>
      <c r="AH115" s="15"/>
    </row>
    <row r="116" spans="1:51" ht="28.5" customHeight="1" x14ac:dyDescent="0.3">
      <c r="A116" s="21" t="s">
        <v>725</v>
      </c>
      <c r="B116" s="17" t="s">
        <v>307</v>
      </c>
      <c r="C116" s="21" t="s">
        <v>128</v>
      </c>
      <c r="D116" s="24">
        <v>263</v>
      </c>
      <c r="E116" s="11"/>
      <c r="F116" s="4"/>
      <c r="G116" s="11"/>
      <c r="H116" s="4"/>
      <c r="I116" s="11"/>
      <c r="J116" s="4"/>
      <c r="K116" s="11"/>
      <c r="L116" s="4"/>
      <c r="M116" s="17"/>
      <c r="N116" s="3" t="str">
        <f>HYPERLINK("#단가대비표!B52", "AOC120306000")</f>
        <v>AOC120306000</v>
      </c>
      <c r="O116" s="15" t="s">
        <v>646</v>
      </c>
      <c r="P116" s="15" t="s">
        <v>646</v>
      </c>
      <c r="Q116" s="15" t="s">
        <v>461</v>
      </c>
      <c r="R116" s="20">
        <v>670283</v>
      </c>
      <c r="S116" s="20">
        <v>10</v>
      </c>
      <c r="T116" s="15" t="s">
        <v>546</v>
      </c>
      <c r="U116" s="15" t="s">
        <v>546</v>
      </c>
      <c r="V116" s="15" t="s">
        <v>657</v>
      </c>
      <c r="W116" s="15" t="s">
        <v>646</v>
      </c>
      <c r="X116" s="20">
        <v>0</v>
      </c>
      <c r="Y116" s="20">
        <v>0</v>
      </c>
      <c r="Z116" s="20">
        <v>0</v>
      </c>
      <c r="AA116" s="20">
        <v>0</v>
      </c>
      <c r="AB116" s="20">
        <v>0</v>
      </c>
      <c r="AC116" s="20">
        <v>0</v>
      </c>
      <c r="AD116" s="20">
        <v>0</v>
      </c>
      <c r="AE116" s="20">
        <v>0</v>
      </c>
      <c r="AF116" s="20">
        <v>0</v>
      </c>
      <c r="AG116" s="20">
        <v>0</v>
      </c>
      <c r="AH116" s="20">
        <v>0</v>
      </c>
      <c r="AI116" s="20">
        <v>6</v>
      </c>
      <c r="AJ116" s="20">
        <v>0</v>
      </c>
      <c r="AK116" s="20">
        <v>0</v>
      </c>
      <c r="AL116" s="20">
        <v>0</v>
      </c>
      <c r="AM116" s="20">
        <v>0</v>
      </c>
      <c r="AN116" s="20">
        <v>0</v>
      </c>
      <c r="AO116" s="20">
        <v>0</v>
      </c>
      <c r="AP116" s="20">
        <v>0</v>
      </c>
      <c r="AQ116" s="20">
        <v>0</v>
      </c>
      <c r="AR116" s="20">
        <v>0</v>
      </c>
      <c r="AS116" s="20">
        <v>0</v>
      </c>
      <c r="AT116" s="20">
        <v>0</v>
      </c>
      <c r="AU116" s="15" t="s">
        <v>646</v>
      </c>
      <c r="AV116" s="20">
        <v>100</v>
      </c>
      <c r="AX116" s="1" t="s">
        <v>646</v>
      </c>
      <c r="AY116" s="14" t="str">
        <f>HYPERLINK("#단가대비표!B52", "▶바로가기")</f>
        <v>▶바로가기</v>
      </c>
    </row>
    <row r="117" spans="1:51" ht="28.5" customHeight="1" x14ac:dyDescent="0.3">
      <c r="A117" s="21" t="s">
        <v>718</v>
      </c>
      <c r="B117" s="17" t="s">
        <v>273</v>
      </c>
      <c r="C117" s="21" t="s">
        <v>128</v>
      </c>
      <c r="D117" s="24">
        <v>263</v>
      </c>
      <c r="E117" s="11"/>
      <c r="F117" s="4"/>
      <c r="G117" s="11"/>
      <c r="H117" s="4"/>
      <c r="I117" s="11"/>
      <c r="J117" s="4"/>
      <c r="K117" s="11"/>
      <c r="L117" s="4"/>
      <c r="M117" s="17" t="s">
        <v>646</v>
      </c>
      <c r="N117" s="3" t="str">
        <f>HYPERLINK("#일위대가목록!A21", "AH0204001600")</f>
        <v>AH0204001600</v>
      </c>
      <c r="O117" s="15" t="s">
        <v>646</v>
      </c>
      <c r="P117" s="15" t="s">
        <v>646</v>
      </c>
      <c r="Q117" s="15" t="s">
        <v>461</v>
      </c>
      <c r="R117" s="20">
        <v>670283</v>
      </c>
      <c r="S117" s="20">
        <v>20</v>
      </c>
      <c r="T117" s="15" t="s">
        <v>657</v>
      </c>
      <c r="U117" s="15" t="s">
        <v>546</v>
      </c>
      <c r="V117" s="15" t="s">
        <v>546</v>
      </c>
      <c r="W117" s="15" t="s">
        <v>646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  <c r="AC117" s="20">
        <v>0</v>
      </c>
      <c r="AD117" s="20">
        <v>0</v>
      </c>
      <c r="AE117" s="20">
        <v>0</v>
      </c>
      <c r="AF117" s="20">
        <v>0</v>
      </c>
      <c r="AG117" s="20">
        <v>0</v>
      </c>
      <c r="AH117" s="20">
        <v>0</v>
      </c>
      <c r="AI117" s="20">
        <v>6</v>
      </c>
      <c r="AJ117" s="20">
        <v>0</v>
      </c>
      <c r="AK117" s="20">
        <v>0</v>
      </c>
      <c r="AL117" s="20">
        <v>0</v>
      </c>
      <c r="AM117" s="20">
        <v>0</v>
      </c>
      <c r="AN117" s="20">
        <v>0</v>
      </c>
      <c r="AO117" s="20">
        <v>0</v>
      </c>
      <c r="AP117" s="20">
        <v>0</v>
      </c>
      <c r="AQ117" s="20">
        <v>0</v>
      </c>
      <c r="AR117" s="20">
        <v>0</v>
      </c>
      <c r="AS117" s="20">
        <v>0</v>
      </c>
      <c r="AT117" s="20">
        <v>0</v>
      </c>
      <c r="AU117" s="15" t="s">
        <v>646</v>
      </c>
      <c r="AV117" s="20">
        <v>100</v>
      </c>
      <c r="AX117" s="1" t="s">
        <v>646</v>
      </c>
      <c r="AY117" s="14" t="str">
        <f>HYPERLINK("#일위대가목록!A21", "▶바로가기")</f>
        <v>▶바로가기</v>
      </c>
    </row>
    <row r="118" spans="1:51" ht="28.5" customHeight="1" x14ac:dyDescent="0.3">
      <c r="A118" s="21" t="s">
        <v>598</v>
      </c>
      <c r="B118" s="17" t="s">
        <v>40</v>
      </c>
      <c r="C118" s="21" t="s">
        <v>128</v>
      </c>
      <c r="D118" s="24">
        <v>263</v>
      </c>
      <c r="E118" s="11"/>
      <c r="F118" s="4"/>
      <c r="G118" s="11"/>
      <c r="H118" s="4"/>
      <c r="I118" s="11"/>
      <c r="J118" s="4"/>
      <c r="K118" s="11"/>
      <c r="L118" s="4"/>
      <c r="M118" s="17" t="s">
        <v>513</v>
      </c>
      <c r="N118" s="3" t="str">
        <f>HYPERLINK("#단가대비표!B24", "3016171720162131")</f>
        <v>3016171720162131</v>
      </c>
      <c r="O118" s="15" t="s">
        <v>646</v>
      </c>
      <c r="P118" s="15" t="s">
        <v>646</v>
      </c>
      <c r="Q118" s="15" t="s">
        <v>461</v>
      </c>
      <c r="R118" s="20">
        <v>670283</v>
      </c>
      <c r="S118" s="20">
        <v>30</v>
      </c>
      <c r="T118" s="15" t="s">
        <v>546</v>
      </c>
      <c r="U118" s="15" t="s">
        <v>546</v>
      </c>
      <c r="V118" s="15" t="s">
        <v>657</v>
      </c>
      <c r="W118" s="15" t="s">
        <v>646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20">
        <v>0</v>
      </c>
      <c r="AE118" s="20">
        <v>0</v>
      </c>
      <c r="AF118" s="20">
        <v>0</v>
      </c>
      <c r="AG118" s="20">
        <v>0</v>
      </c>
      <c r="AH118" s="20">
        <v>0</v>
      </c>
      <c r="AI118" s="20">
        <v>6</v>
      </c>
      <c r="AJ118" s="20">
        <v>0</v>
      </c>
      <c r="AK118" s="20">
        <v>0</v>
      </c>
      <c r="AL118" s="20">
        <v>0</v>
      </c>
      <c r="AM118" s="20">
        <v>0</v>
      </c>
      <c r="AN118" s="20">
        <v>0</v>
      </c>
      <c r="AO118" s="20">
        <v>0</v>
      </c>
      <c r="AP118" s="20">
        <v>0</v>
      </c>
      <c r="AQ118" s="20">
        <v>0</v>
      </c>
      <c r="AR118" s="20">
        <v>0</v>
      </c>
      <c r="AS118" s="20">
        <v>0</v>
      </c>
      <c r="AT118" s="20">
        <v>0</v>
      </c>
      <c r="AU118" s="15" t="s">
        <v>646</v>
      </c>
      <c r="AV118" s="20">
        <v>100</v>
      </c>
      <c r="AX118" s="1" t="s">
        <v>646</v>
      </c>
      <c r="AY118" s="14" t="str">
        <f>HYPERLINK("#단가대비표!B24", "▶바로가기")</f>
        <v>▶바로가기</v>
      </c>
    </row>
    <row r="119" spans="1:51" ht="28.5" customHeight="1" x14ac:dyDescent="0.3">
      <c r="A119" s="21" t="s">
        <v>174</v>
      </c>
      <c r="B119" s="17" t="s">
        <v>58</v>
      </c>
      <c r="C119" s="21" t="s">
        <v>128</v>
      </c>
      <c r="D119" s="24">
        <v>50</v>
      </c>
      <c r="E119" s="11"/>
      <c r="F119" s="4"/>
      <c r="G119" s="11"/>
      <c r="H119" s="4"/>
      <c r="I119" s="11"/>
      <c r="J119" s="4"/>
      <c r="K119" s="11"/>
      <c r="L119" s="4"/>
      <c r="M119" s="17" t="s">
        <v>318</v>
      </c>
      <c r="N119" s="3" t="str">
        <f>HYPERLINK("#단가대비표!B43", "813J050000000041")</f>
        <v>813J050000000041</v>
      </c>
      <c r="O119" s="15" t="s">
        <v>646</v>
      </c>
      <c r="P119" s="15" t="s">
        <v>646</v>
      </c>
      <c r="Q119" s="15" t="s">
        <v>461</v>
      </c>
      <c r="R119" s="20">
        <v>670283</v>
      </c>
      <c r="S119" s="20">
        <v>40</v>
      </c>
      <c r="T119" s="15" t="s">
        <v>546</v>
      </c>
      <c r="U119" s="15" t="s">
        <v>546</v>
      </c>
      <c r="V119" s="15" t="s">
        <v>657</v>
      </c>
      <c r="W119" s="15" t="s">
        <v>646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0</v>
      </c>
      <c r="AD119" s="20">
        <v>0</v>
      </c>
      <c r="AE119" s="20">
        <v>0</v>
      </c>
      <c r="AF119" s="20">
        <v>0</v>
      </c>
      <c r="AG119" s="20">
        <v>0</v>
      </c>
      <c r="AH119" s="20">
        <v>0</v>
      </c>
      <c r="AI119" s="20">
        <v>6</v>
      </c>
      <c r="AJ119" s="20">
        <v>0</v>
      </c>
      <c r="AK119" s="20">
        <v>0</v>
      </c>
      <c r="AL119" s="20">
        <v>0</v>
      </c>
      <c r="AM119" s="20">
        <v>0</v>
      </c>
      <c r="AN119" s="20">
        <v>0</v>
      </c>
      <c r="AO119" s="20">
        <v>0</v>
      </c>
      <c r="AP119" s="20">
        <v>0</v>
      </c>
      <c r="AQ119" s="20">
        <v>0</v>
      </c>
      <c r="AR119" s="20">
        <v>0</v>
      </c>
      <c r="AS119" s="20">
        <v>0</v>
      </c>
      <c r="AT119" s="20">
        <v>0</v>
      </c>
      <c r="AU119" s="15" t="s">
        <v>646</v>
      </c>
      <c r="AV119" s="20">
        <v>100</v>
      </c>
      <c r="AX119" s="1" t="s">
        <v>646</v>
      </c>
      <c r="AY119" s="14" t="str">
        <f>HYPERLINK("#단가대비표!B43", "▶바로가기")</f>
        <v>▶바로가기</v>
      </c>
    </row>
    <row r="120" spans="1:51" ht="28.5" customHeight="1" x14ac:dyDescent="0.3">
      <c r="A120" s="21" t="s">
        <v>648</v>
      </c>
      <c r="B120" s="17" t="s">
        <v>34</v>
      </c>
      <c r="C120" s="21" t="s">
        <v>128</v>
      </c>
      <c r="D120" s="24">
        <v>50</v>
      </c>
      <c r="E120" s="11"/>
      <c r="F120" s="4"/>
      <c r="G120" s="11"/>
      <c r="H120" s="4"/>
      <c r="I120" s="11"/>
      <c r="J120" s="4"/>
      <c r="K120" s="11"/>
      <c r="L120" s="4"/>
      <c r="M120" s="17" t="s">
        <v>646</v>
      </c>
      <c r="N120" s="3" t="str">
        <f>HYPERLINK("#일위대가목록!A22", "IN1000000100")</f>
        <v>IN1000000100</v>
      </c>
      <c r="O120" s="15" t="s">
        <v>646</v>
      </c>
      <c r="P120" s="15" t="s">
        <v>646</v>
      </c>
      <c r="Q120" s="15" t="s">
        <v>461</v>
      </c>
      <c r="R120" s="20">
        <v>670283</v>
      </c>
      <c r="S120" s="20">
        <v>50</v>
      </c>
      <c r="T120" s="15" t="s">
        <v>657</v>
      </c>
      <c r="U120" s="15" t="s">
        <v>546</v>
      </c>
      <c r="V120" s="15" t="s">
        <v>546</v>
      </c>
      <c r="W120" s="15" t="s">
        <v>646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0</v>
      </c>
      <c r="AD120" s="20">
        <v>0</v>
      </c>
      <c r="AE120" s="20">
        <v>0</v>
      </c>
      <c r="AF120" s="20">
        <v>0</v>
      </c>
      <c r="AG120" s="20">
        <v>0</v>
      </c>
      <c r="AH120" s="20">
        <v>0</v>
      </c>
      <c r="AI120" s="20">
        <v>6</v>
      </c>
      <c r="AJ120" s="20">
        <v>0</v>
      </c>
      <c r="AK120" s="20">
        <v>0</v>
      </c>
      <c r="AL120" s="20">
        <v>0</v>
      </c>
      <c r="AM120" s="20">
        <v>0</v>
      </c>
      <c r="AN120" s="20">
        <v>0</v>
      </c>
      <c r="AO120" s="20">
        <v>0</v>
      </c>
      <c r="AP120" s="20">
        <v>0</v>
      </c>
      <c r="AQ120" s="20">
        <v>0</v>
      </c>
      <c r="AR120" s="20">
        <v>0</v>
      </c>
      <c r="AS120" s="20">
        <v>0</v>
      </c>
      <c r="AT120" s="20">
        <v>0</v>
      </c>
      <c r="AU120" s="15" t="s">
        <v>646</v>
      </c>
      <c r="AV120" s="20">
        <v>100</v>
      </c>
      <c r="AX120" s="1" t="s">
        <v>646</v>
      </c>
      <c r="AY120" s="14" t="str">
        <f>HYPERLINK("#일위대가목록!A22", "▶바로가기")</f>
        <v>▶바로가기</v>
      </c>
    </row>
    <row r="121" spans="1:51" ht="28.5" customHeight="1" x14ac:dyDescent="0.3">
      <c r="A121" s="21" t="s">
        <v>187</v>
      </c>
      <c r="B121" s="17" t="s">
        <v>235</v>
      </c>
      <c r="C121" s="21" t="s">
        <v>128</v>
      </c>
      <c r="D121" s="24">
        <v>8.65</v>
      </c>
      <c r="E121" s="11"/>
      <c r="F121" s="4"/>
      <c r="G121" s="11"/>
      <c r="H121" s="4"/>
      <c r="I121" s="11"/>
      <c r="J121" s="4"/>
      <c r="K121" s="11"/>
      <c r="L121" s="4"/>
      <c r="M121" s="17" t="s">
        <v>646</v>
      </c>
      <c r="N121" s="3" t="str">
        <f>HYPERLINK("#일위대가목록!A23", "AE0101201000")</f>
        <v>AE0101201000</v>
      </c>
      <c r="O121" s="15" t="s">
        <v>646</v>
      </c>
      <c r="P121" s="15" t="s">
        <v>646</v>
      </c>
      <c r="Q121" s="15" t="s">
        <v>461</v>
      </c>
      <c r="R121" s="20">
        <v>670283</v>
      </c>
      <c r="S121" s="20">
        <v>60</v>
      </c>
      <c r="T121" s="15" t="s">
        <v>657</v>
      </c>
      <c r="U121" s="15" t="s">
        <v>546</v>
      </c>
      <c r="V121" s="15" t="s">
        <v>546</v>
      </c>
      <c r="W121" s="15" t="s">
        <v>646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0</v>
      </c>
      <c r="AD121" s="20">
        <v>0</v>
      </c>
      <c r="AE121" s="20">
        <v>0</v>
      </c>
      <c r="AF121" s="20">
        <v>0</v>
      </c>
      <c r="AG121" s="20">
        <v>0</v>
      </c>
      <c r="AH121" s="20">
        <v>0</v>
      </c>
      <c r="AI121" s="20">
        <v>6</v>
      </c>
      <c r="AJ121" s="20">
        <v>0</v>
      </c>
      <c r="AK121" s="20">
        <v>0</v>
      </c>
      <c r="AL121" s="20">
        <v>0</v>
      </c>
      <c r="AM121" s="20">
        <v>0</v>
      </c>
      <c r="AN121" s="20">
        <v>0</v>
      </c>
      <c r="AO121" s="20">
        <v>0</v>
      </c>
      <c r="AP121" s="20">
        <v>0</v>
      </c>
      <c r="AQ121" s="20">
        <v>0</v>
      </c>
      <c r="AR121" s="20">
        <v>0</v>
      </c>
      <c r="AS121" s="20">
        <v>0</v>
      </c>
      <c r="AT121" s="20">
        <v>0</v>
      </c>
      <c r="AU121" s="15" t="s">
        <v>646</v>
      </c>
      <c r="AV121" s="20">
        <v>100</v>
      </c>
      <c r="AX121" s="1" t="s">
        <v>646</v>
      </c>
      <c r="AY121" s="14" t="str">
        <f>HYPERLINK("#일위대가목록!A23", "▶바로가기")</f>
        <v>▶바로가기</v>
      </c>
    </row>
    <row r="122" spans="1:51" ht="28.5" customHeight="1" x14ac:dyDescent="0.3">
      <c r="A122" s="21" t="s">
        <v>646</v>
      </c>
      <c r="B122" s="21" t="s">
        <v>646</v>
      </c>
      <c r="C122" s="21" t="s">
        <v>646</v>
      </c>
      <c r="D122" s="4">
        <v>0</v>
      </c>
      <c r="E122" s="11"/>
      <c r="F122" s="4"/>
      <c r="G122" s="11"/>
      <c r="H122" s="4"/>
      <c r="I122" s="11"/>
      <c r="J122" s="4"/>
      <c r="K122" s="11"/>
      <c r="L122" s="4"/>
      <c r="M122" s="21" t="s">
        <v>646</v>
      </c>
      <c r="N122" s="21" t="s">
        <v>646</v>
      </c>
      <c r="O122" s="21" t="s">
        <v>646</v>
      </c>
      <c r="P122" s="21" t="s">
        <v>646</v>
      </c>
      <c r="AU122" s="15"/>
      <c r="AV122" s="20">
        <v>0</v>
      </c>
    </row>
    <row r="123" spans="1:51" ht="28.5" customHeight="1" x14ac:dyDescent="0.3">
      <c r="A123" s="21" t="s">
        <v>646</v>
      </c>
      <c r="B123" s="21" t="s">
        <v>646</v>
      </c>
      <c r="C123" s="21" t="s">
        <v>646</v>
      </c>
      <c r="D123" s="4">
        <v>0</v>
      </c>
      <c r="E123" s="11"/>
      <c r="F123" s="4"/>
      <c r="G123" s="11"/>
      <c r="H123" s="4"/>
      <c r="I123" s="11"/>
      <c r="J123" s="4"/>
      <c r="K123" s="11"/>
      <c r="L123" s="4"/>
      <c r="M123" s="21" t="s">
        <v>646</v>
      </c>
      <c r="N123" s="21" t="s">
        <v>646</v>
      </c>
      <c r="O123" s="21" t="s">
        <v>646</v>
      </c>
      <c r="P123" s="21" t="s">
        <v>646</v>
      </c>
      <c r="AU123" s="15"/>
      <c r="AV123" s="20">
        <v>0</v>
      </c>
    </row>
    <row r="124" spans="1:51" ht="28.5" customHeight="1" x14ac:dyDescent="0.3">
      <c r="A124" s="21" t="s">
        <v>646</v>
      </c>
      <c r="B124" s="21" t="s">
        <v>646</v>
      </c>
      <c r="C124" s="21" t="s">
        <v>646</v>
      </c>
      <c r="D124" s="4">
        <v>0</v>
      </c>
      <c r="E124" s="11"/>
      <c r="F124" s="4"/>
      <c r="G124" s="11"/>
      <c r="H124" s="4"/>
      <c r="I124" s="11"/>
      <c r="J124" s="4"/>
      <c r="K124" s="11"/>
      <c r="L124" s="4"/>
      <c r="M124" s="21" t="s">
        <v>646</v>
      </c>
      <c r="N124" s="21" t="s">
        <v>646</v>
      </c>
      <c r="O124" s="21" t="s">
        <v>646</v>
      </c>
      <c r="P124" s="21" t="s">
        <v>646</v>
      </c>
      <c r="AU124" s="15"/>
      <c r="AV124" s="20">
        <v>0</v>
      </c>
    </row>
    <row r="125" spans="1:51" ht="28.5" customHeight="1" x14ac:dyDescent="0.3">
      <c r="A125" s="21" t="s">
        <v>646</v>
      </c>
      <c r="B125" s="21" t="s">
        <v>646</v>
      </c>
      <c r="C125" s="21" t="s">
        <v>646</v>
      </c>
      <c r="D125" s="4">
        <v>0</v>
      </c>
      <c r="E125" s="11"/>
      <c r="F125" s="4"/>
      <c r="G125" s="11"/>
      <c r="H125" s="4"/>
      <c r="I125" s="11"/>
      <c r="J125" s="4"/>
      <c r="K125" s="11"/>
      <c r="L125" s="4"/>
      <c r="M125" s="21" t="s">
        <v>646</v>
      </c>
      <c r="N125" s="21" t="s">
        <v>646</v>
      </c>
      <c r="O125" s="21" t="s">
        <v>646</v>
      </c>
      <c r="P125" s="21" t="s">
        <v>646</v>
      </c>
      <c r="AU125" s="15"/>
      <c r="AV125" s="20">
        <v>0</v>
      </c>
    </row>
    <row r="126" spans="1:51" ht="28.5" customHeight="1" x14ac:dyDescent="0.3">
      <c r="A126" s="21" t="s">
        <v>646</v>
      </c>
      <c r="B126" s="21" t="s">
        <v>646</v>
      </c>
      <c r="C126" s="21" t="s">
        <v>646</v>
      </c>
      <c r="D126" s="4">
        <v>0</v>
      </c>
      <c r="E126" s="11"/>
      <c r="F126" s="4"/>
      <c r="G126" s="11"/>
      <c r="H126" s="4"/>
      <c r="I126" s="11"/>
      <c r="J126" s="4"/>
      <c r="K126" s="11"/>
      <c r="L126" s="4"/>
      <c r="M126" s="21" t="s">
        <v>646</v>
      </c>
      <c r="N126" s="21" t="s">
        <v>646</v>
      </c>
      <c r="O126" s="21" t="s">
        <v>646</v>
      </c>
      <c r="P126" s="21" t="s">
        <v>646</v>
      </c>
      <c r="AU126" s="15"/>
      <c r="AV126" s="20">
        <v>0</v>
      </c>
    </row>
    <row r="127" spans="1:51" ht="28.5" customHeight="1" x14ac:dyDescent="0.3">
      <c r="A127" s="21" t="s">
        <v>646</v>
      </c>
      <c r="B127" s="21" t="s">
        <v>646</v>
      </c>
      <c r="C127" s="21" t="s">
        <v>646</v>
      </c>
      <c r="D127" s="4">
        <v>0</v>
      </c>
      <c r="E127" s="11"/>
      <c r="F127" s="4"/>
      <c r="G127" s="11"/>
      <c r="H127" s="4"/>
      <c r="I127" s="11"/>
      <c r="J127" s="4"/>
      <c r="K127" s="11"/>
      <c r="L127" s="4"/>
      <c r="M127" s="21" t="s">
        <v>646</v>
      </c>
      <c r="N127" s="21" t="s">
        <v>646</v>
      </c>
      <c r="O127" s="21" t="s">
        <v>646</v>
      </c>
      <c r="P127" s="21" t="s">
        <v>646</v>
      </c>
      <c r="AU127" s="15"/>
      <c r="AV127" s="20">
        <v>0</v>
      </c>
    </row>
    <row r="128" spans="1:51" ht="28.5" customHeight="1" x14ac:dyDescent="0.3">
      <c r="A128" s="21" t="s">
        <v>646</v>
      </c>
      <c r="B128" s="21" t="s">
        <v>646</v>
      </c>
      <c r="C128" s="21" t="s">
        <v>646</v>
      </c>
      <c r="D128" s="4">
        <v>0</v>
      </c>
      <c r="E128" s="11"/>
      <c r="F128" s="4"/>
      <c r="G128" s="11"/>
      <c r="H128" s="4"/>
      <c r="I128" s="11"/>
      <c r="J128" s="4"/>
      <c r="K128" s="11"/>
      <c r="L128" s="4"/>
      <c r="M128" s="21" t="s">
        <v>646</v>
      </c>
      <c r="N128" s="21" t="s">
        <v>646</v>
      </c>
      <c r="O128" s="21" t="s">
        <v>646</v>
      </c>
      <c r="P128" s="21" t="s">
        <v>646</v>
      </c>
      <c r="AU128" s="15"/>
      <c r="AV128" s="20">
        <v>0</v>
      </c>
    </row>
    <row r="129" spans="1:51" ht="28.5" customHeight="1" x14ac:dyDescent="0.3">
      <c r="A129" s="21" t="s">
        <v>646</v>
      </c>
      <c r="B129" s="21" t="s">
        <v>646</v>
      </c>
      <c r="C129" s="21" t="s">
        <v>646</v>
      </c>
      <c r="D129" s="4">
        <v>0</v>
      </c>
      <c r="E129" s="11"/>
      <c r="F129" s="4"/>
      <c r="G129" s="11"/>
      <c r="H129" s="4"/>
      <c r="I129" s="11"/>
      <c r="J129" s="4"/>
      <c r="K129" s="11"/>
      <c r="L129" s="4"/>
      <c r="M129" s="21" t="s">
        <v>646</v>
      </c>
      <c r="N129" s="21" t="s">
        <v>646</v>
      </c>
      <c r="O129" s="21" t="s">
        <v>646</v>
      </c>
      <c r="P129" s="21" t="s">
        <v>646</v>
      </c>
      <c r="AU129" s="15"/>
      <c r="AV129" s="20">
        <v>0</v>
      </c>
    </row>
    <row r="130" spans="1:51" ht="28.5" customHeight="1" x14ac:dyDescent="0.3">
      <c r="A130" s="21" t="s">
        <v>646</v>
      </c>
      <c r="B130" s="21" t="s">
        <v>646</v>
      </c>
      <c r="C130" s="21" t="s">
        <v>646</v>
      </c>
      <c r="D130" s="4">
        <v>0</v>
      </c>
      <c r="E130" s="11"/>
      <c r="F130" s="4"/>
      <c r="G130" s="11"/>
      <c r="H130" s="4"/>
      <c r="I130" s="11"/>
      <c r="J130" s="4"/>
      <c r="K130" s="11"/>
      <c r="L130" s="4"/>
      <c r="M130" s="21" t="s">
        <v>646</v>
      </c>
      <c r="N130" s="21" t="s">
        <v>646</v>
      </c>
      <c r="O130" s="21" t="s">
        <v>646</v>
      </c>
      <c r="P130" s="21" t="s">
        <v>646</v>
      </c>
      <c r="AU130" s="15"/>
      <c r="AV130" s="20">
        <v>0</v>
      </c>
    </row>
    <row r="131" spans="1:51" ht="28.5" customHeight="1" x14ac:dyDescent="0.3">
      <c r="A131" s="21" t="s">
        <v>646</v>
      </c>
      <c r="B131" s="21" t="s">
        <v>646</v>
      </c>
      <c r="C131" s="21" t="s">
        <v>646</v>
      </c>
      <c r="D131" s="4">
        <v>0</v>
      </c>
      <c r="E131" s="11"/>
      <c r="F131" s="4"/>
      <c r="G131" s="11"/>
      <c r="H131" s="4"/>
      <c r="I131" s="11"/>
      <c r="J131" s="4"/>
      <c r="K131" s="11"/>
      <c r="L131" s="4"/>
      <c r="M131" s="21" t="s">
        <v>646</v>
      </c>
      <c r="N131" s="21" t="s">
        <v>646</v>
      </c>
      <c r="O131" s="21" t="s">
        <v>646</v>
      </c>
      <c r="P131" s="21" t="s">
        <v>646</v>
      </c>
      <c r="AU131" s="15"/>
      <c r="AV131" s="20">
        <v>0</v>
      </c>
    </row>
    <row r="132" spans="1:51" ht="28.5" customHeight="1" x14ac:dyDescent="0.3">
      <c r="A132" s="21" t="s">
        <v>646</v>
      </c>
      <c r="B132" s="21" t="s">
        <v>646</v>
      </c>
      <c r="C132" s="21" t="s">
        <v>646</v>
      </c>
      <c r="D132" s="4">
        <v>0</v>
      </c>
      <c r="E132" s="11"/>
      <c r="F132" s="4"/>
      <c r="G132" s="11"/>
      <c r="H132" s="4"/>
      <c r="I132" s="11"/>
      <c r="J132" s="4"/>
      <c r="K132" s="11"/>
      <c r="L132" s="4"/>
      <c r="M132" s="21" t="s">
        <v>646</v>
      </c>
      <c r="N132" s="21" t="s">
        <v>646</v>
      </c>
      <c r="O132" s="21" t="s">
        <v>646</v>
      </c>
      <c r="P132" s="21" t="s">
        <v>646</v>
      </c>
      <c r="AU132" s="15"/>
      <c r="AV132" s="20">
        <v>0</v>
      </c>
    </row>
    <row r="133" spans="1:51" ht="28.5" customHeight="1" x14ac:dyDescent="0.3">
      <c r="A133" s="21" t="s">
        <v>646</v>
      </c>
      <c r="B133" s="21" t="s">
        <v>646</v>
      </c>
      <c r="C133" s="21" t="s">
        <v>646</v>
      </c>
      <c r="D133" s="4">
        <v>0</v>
      </c>
      <c r="E133" s="11"/>
      <c r="F133" s="4"/>
      <c r="G133" s="11"/>
      <c r="H133" s="4"/>
      <c r="I133" s="11"/>
      <c r="J133" s="4"/>
      <c r="K133" s="11"/>
      <c r="L133" s="4"/>
      <c r="M133" s="21" t="s">
        <v>646</v>
      </c>
      <c r="N133" s="21" t="s">
        <v>646</v>
      </c>
      <c r="O133" s="21" t="s">
        <v>646</v>
      </c>
      <c r="P133" s="21" t="s">
        <v>646</v>
      </c>
      <c r="AU133" s="15"/>
      <c r="AV133" s="20">
        <v>0</v>
      </c>
    </row>
    <row r="134" spans="1:51" ht="28.5" customHeight="1" x14ac:dyDescent="0.3">
      <c r="A134" s="21" t="s">
        <v>646</v>
      </c>
      <c r="B134" s="21" t="s">
        <v>646</v>
      </c>
      <c r="C134" s="21" t="s">
        <v>646</v>
      </c>
      <c r="D134" s="4">
        <v>0</v>
      </c>
      <c r="E134" s="11"/>
      <c r="F134" s="4"/>
      <c r="G134" s="11"/>
      <c r="H134" s="4"/>
      <c r="I134" s="11"/>
      <c r="J134" s="4"/>
      <c r="K134" s="11"/>
      <c r="L134" s="4"/>
      <c r="M134" s="21" t="s">
        <v>646</v>
      </c>
      <c r="N134" s="21" t="s">
        <v>646</v>
      </c>
      <c r="O134" s="21" t="s">
        <v>646</v>
      </c>
      <c r="P134" s="21" t="s">
        <v>646</v>
      </c>
      <c r="AU134" s="15"/>
      <c r="AV134" s="20">
        <v>0</v>
      </c>
    </row>
    <row r="135" spans="1:51" ht="28.5" customHeight="1" x14ac:dyDescent="0.3">
      <c r="A135" s="21" t="s">
        <v>646</v>
      </c>
      <c r="B135" s="21" t="s">
        <v>646</v>
      </c>
      <c r="C135" s="21" t="s">
        <v>646</v>
      </c>
      <c r="D135" s="4">
        <v>0</v>
      </c>
      <c r="E135" s="11"/>
      <c r="F135" s="4"/>
      <c r="G135" s="11"/>
      <c r="H135" s="4"/>
      <c r="I135" s="11"/>
      <c r="J135" s="4"/>
      <c r="K135" s="11"/>
      <c r="L135" s="4"/>
      <c r="M135" s="21" t="s">
        <v>646</v>
      </c>
      <c r="N135" s="21" t="s">
        <v>646</v>
      </c>
      <c r="O135" s="21" t="s">
        <v>646</v>
      </c>
      <c r="P135" s="21" t="s">
        <v>646</v>
      </c>
      <c r="AU135" s="15"/>
      <c r="AV135" s="20">
        <v>0</v>
      </c>
    </row>
    <row r="136" spans="1:51" ht="28.5" customHeight="1" x14ac:dyDescent="0.3">
      <c r="A136" s="21" t="s">
        <v>401</v>
      </c>
      <c r="B136" s="21" t="s">
        <v>646</v>
      </c>
      <c r="C136" s="21" t="s">
        <v>646</v>
      </c>
      <c r="D136" s="21" t="s">
        <v>646</v>
      </c>
      <c r="E136" s="2"/>
      <c r="F136" s="4"/>
      <c r="G136" s="4"/>
      <c r="H136" s="4"/>
      <c r="I136" s="4"/>
      <c r="J136" s="4"/>
      <c r="K136" s="10"/>
      <c r="L136" s="4"/>
      <c r="M136" s="21"/>
    </row>
    <row r="137" spans="1:51" ht="28.5" customHeight="1" x14ac:dyDescent="0.3">
      <c r="A137" s="7" t="s">
        <v>697</v>
      </c>
      <c r="B137" s="21"/>
      <c r="C137" s="21"/>
      <c r="D137" s="21" t="s">
        <v>646</v>
      </c>
      <c r="E137" s="21"/>
      <c r="F137" s="21"/>
      <c r="G137" s="21"/>
      <c r="H137" s="21"/>
      <c r="I137" s="21"/>
      <c r="J137" s="21"/>
      <c r="K137" s="21"/>
      <c r="L137" s="21"/>
      <c r="M137" s="21" t="s">
        <v>646</v>
      </c>
      <c r="N137" s="25" t="s">
        <v>646</v>
      </c>
      <c r="Q137" s="15" t="s">
        <v>200</v>
      </c>
      <c r="R137" s="20">
        <v>805137</v>
      </c>
      <c r="S137" s="20">
        <v>0</v>
      </c>
      <c r="AH137" s="15"/>
    </row>
    <row r="138" spans="1:51" ht="28.5" customHeight="1" x14ac:dyDescent="0.3">
      <c r="A138" s="21" t="s">
        <v>398</v>
      </c>
      <c r="B138" s="17" t="s">
        <v>541</v>
      </c>
      <c r="C138" s="21" t="s">
        <v>738</v>
      </c>
      <c r="D138" s="24">
        <v>1</v>
      </c>
      <c r="E138" s="11"/>
      <c r="F138" s="4"/>
      <c r="G138" s="11"/>
      <c r="H138" s="4"/>
      <c r="I138" s="11"/>
      <c r="J138" s="4"/>
      <c r="K138" s="11"/>
      <c r="L138" s="4"/>
      <c r="M138" s="17"/>
      <c r="N138" s="3" t="str">
        <f>HYPERLINK("#단가대비표!B47", "ZA00000000000004")</f>
        <v>ZA00000000000004</v>
      </c>
      <c r="O138" s="15" t="s">
        <v>646</v>
      </c>
      <c r="P138" s="15" t="s">
        <v>646</v>
      </c>
      <c r="Q138" s="15" t="s">
        <v>200</v>
      </c>
      <c r="R138" s="20">
        <v>805137</v>
      </c>
      <c r="S138" s="20">
        <v>5</v>
      </c>
      <c r="T138" s="15" t="s">
        <v>546</v>
      </c>
      <c r="U138" s="15" t="s">
        <v>546</v>
      </c>
      <c r="V138" s="15" t="s">
        <v>657</v>
      </c>
      <c r="W138" s="15" t="s">
        <v>646</v>
      </c>
      <c r="X138" s="20">
        <v>0</v>
      </c>
      <c r="Y138" s="20">
        <v>0</v>
      </c>
      <c r="Z138" s="20">
        <v>0</v>
      </c>
      <c r="AA138" s="20">
        <v>0</v>
      </c>
      <c r="AB138" s="20">
        <v>0</v>
      </c>
      <c r="AC138" s="20">
        <v>0</v>
      </c>
      <c r="AD138" s="20">
        <v>0</v>
      </c>
      <c r="AE138" s="20">
        <v>0</v>
      </c>
      <c r="AF138" s="20">
        <v>0</v>
      </c>
      <c r="AG138" s="20">
        <v>0</v>
      </c>
      <c r="AH138" s="20">
        <v>0</v>
      </c>
      <c r="AI138" s="20">
        <v>7</v>
      </c>
      <c r="AJ138" s="20">
        <v>0</v>
      </c>
      <c r="AK138" s="20">
        <v>0</v>
      </c>
      <c r="AL138" s="20">
        <v>0</v>
      </c>
      <c r="AM138" s="20">
        <v>0</v>
      </c>
      <c r="AN138" s="20">
        <v>0</v>
      </c>
      <c r="AO138" s="20">
        <v>0</v>
      </c>
      <c r="AP138" s="20">
        <v>0</v>
      </c>
      <c r="AQ138" s="20">
        <v>0</v>
      </c>
      <c r="AR138" s="20">
        <v>0</v>
      </c>
      <c r="AS138" s="20">
        <v>0</v>
      </c>
      <c r="AT138" s="20">
        <v>0</v>
      </c>
      <c r="AU138" s="15"/>
      <c r="AV138" s="20">
        <v>100</v>
      </c>
      <c r="AX138" s="1" t="s">
        <v>646</v>
      </c>
      <c r="AY138" s="14" t="str">
        <f>HYPERLINK("#단가대비표!B47", "▶바로가기")</f>
        <v>▶바로가기</v>
      </c>
    </row>
    <row r="139" spans="1:51" ht="28.5" customHeight="1" x14ac:dyDescent="0.3">
      <c r="A139" s="21" t="s">
        <v>496</v>
      </c>
      <c r="B139" s="17" t="s">
        <v>35</v>
      </c>
      <c r="C139" s="21" t="s">
        <v>738</v>
      </c>
      <c r="D139" s="24">
        <v>1</v>
      </c>
      <c r="E139" s="11"/>
      <c r="F139" s="4"/>
      <c r="G139" s="11"/>
      <c r="H139" s="4"/>
      <c r="I139" s="11"/>
      <c r="J139" s="4"/>
      <c r="K139" s="11"/>
      <c r="L139" s="4"/>
      <c r="M139" s="17"/>
      <c r="N139" s="3" t="str">
        <f>HYPERLINK("#단가대비표!B48", "ZA00000000000005")</f>
        <v>ZA00000000000005</v>
      </c>
      <c r="O139" s="15" t="s">
        <v>646</v>
      </c>
      <c r="P139" s="15" t="s">
        <v>646</v>
      </c>
      <c r="Q139" s="15" t="s">
        <v>200</v>
      </c>
      <c r="R139" s="20">
        <v>805137</v>
      </c>
      <c r="S139" s="20">
        <v>7</v>
      </c>
      <c r="T139" s="15" t="s">
        <v>546</v>
      </c>
      <c r="U139" s="15" t="s">
        <v>546</v>
      </c>
      <c r="V139" s="15" t="s">
        <v>657</v>
      </c>
      <c r="W139" s="15" t="s">
        <v>646</v>
      </c>
      <c r="X139" s="20">
        <v>0</v>
      </c>
      <c r="Y139" s="20">
        <v>0</v>
      </c>
      <c r="Z139" s="20">
        <v>0</v>
      </c>
      <c r="AA139" s="20">
        <v>0</v>
      </c>
      <c r="AB139" s="20">
        <v>0</v>
      </c>
      <c r="AC139" s="20">
        <v>0</v>
      </c>
      <c r="AD139" s="20">
        <v>0</v>
      </c>
      <c r="AE139" s="20">
        <v>0</v>
      </c>
      <c r="AF139" s="20">
        <v>0</v>
      </c>
      <c r="AG139" s="20">
        <v>0</v>
      </c>
      <c r="AH139" s="20">
        <v>0</v>
      </c>
      <c r="AI139" s="20">
        <v>7</v>
      </c>
      <c r="AJ139" s="20">
        <v>0</v>
      </c>
      <c r="AK139" s="20">
        <v>0</v>
      </c>
      <c r="AL139" s="20">
        <v>0</v>
      </c>
      <c r="AM139" s="20">
        <v>0</v>
      </c>
      <c r="AN139" s="20">
        <v>0</v>
      </c>
      <c r="AO139" s="20">
        <v>0</v>
      </c>
      <c r="AP139" s="20">
        <v>0</v>
      </c>
      <c r="AQ139" s="20">
        <v>0</v>
      </c>
      <c r="AR139" s="20">
        <v>0</v>
      </c>
      <c r="AS139" s="20">
        <v>0</v>
      </c>
      <c r="AT139" s="20">
        <v>0</v>
      </c>
      <c r="AU139" s="15"/>
      <c r="AV139" s="20">
        <v>100</v>
      </c>
      <c r="AX139" s="1" t="s">
        <v>646</v>
      </c>
      <c r="AY139" s="14" t="str">
        <f>HYPERLINK("#단가대비표!B48", "▶바로가기")</f>
        <v>▶바로가기</v>
      </c>
    </row>
    <row r="140" spans="1:51" ht="28.5" customHeight="1" x14ac:dyDescent="0.3">
      <c r="A140" s="21" t="s">
        <v>345</v>
      </c>
      <c r="B140" s="17" t="s">
        <v>618</v>
      </c>
      <c r="C140" s="21" t="s">
        <v>738</v>
      </c>
      <c r="D140" s="24">
        <v>1</v>
      </c>
      <c r="E140" s="11"/>
      <c r="F140" s="4"/>
      <c r="G140" s="11"/>
      <c r="H140" s="4"/>
      <c r="I140" s="11"/>
      <c r="J140" s="4"/>
      <c r="K140" s="11"/>
      <c r="L140" s="4"/>
      <c r="M140" s="17"/>
      <c r="N140" s="3" t="str">
        <f>HYPERLINK("#단가대비표!B49", "ZA00000000000006")</f>
        <v>ZA00000000000006</v>
      </c>
      <c r="O140" s="15" t="s">
        <v>646</v>
      </c>
      <c r="P140" s="15" t="s">
        <v>646</v>
      </c>
      <c r="Q140" s="15" t="s">
        <v>200</v>
      </c>
      <c r="R140" s="20">
        <v>805137</v>
      </c>
      <c r="S140" s="20">
        <v>8</v>
      </c>
      <c r="T140" s="15" t="s">
        <v>546</v>
      </c>
      <c r="U140" s="15" t="s">
        <v>546</v>
      </c>
      <c r="V140" s="15" t="s">
        <v>657</v>
      </c>
      <c r="W140" s="15" t="s">
        <v>646</v>
      </c>
      <c r="X140" s="20">
        <v>0</v>
      </c>
      <c r="Y140" s="20">
        <v>0</v>
      </c>
      <c r="Z140" s="20">
        <v>0</v>
      </c>
      <c r="AA140" s="20">
        <v>0</v>
      </c>
      <c r="AB140" s="20">
        <v>0</v>
      </c>
      <c r="AC140" s="20">
        <v>0</v>
      </c>
      <c r="AD140" s="20">
        <v>0</v>
      </c>
      <c r="AE140" s="20">
        <v>0</v>
      </c>
      <c r="AF140" s="20">
        <v>0</v>
      </c>
      <c r="AG140" s="20">
        <v>0</v>
      </c>
      <c r="AH140" s="20">
        <v>0</v>
      </c>
      <c r="AI140" s="20">
        <v>7</v>
      </c>
      <c r="AJ140" s="20">
        <v>0</v>
      </c>
      <c r="AK140" s="20">
        <v>0</v>
      </c>
      <c r="AL140" s="20">
        <v>0</v>
      </c>
      <c r="AM140" s="20">
        <v>0</v>
      </c>
      <c r="AN140" s="20">
        <v>0</v>
      </c>
      <c r="AO140" s="20">
        <v>0</v>
      </c>
      <c r="AP140" s="20">
        <v>0</v>
      </c>
      <c r="AQ140" s="20">
        <v>0</v>
      </c>
      <c r="AR140" s="20">
        <v>0</v>
      </c>
      <c r="AS140" s="20">
        <v>0</v>
      </c>
      <c r="AT140" s="20">
        <v>0</v>
      </c>
      <c r="AU140" s="15"/>
      <c r="AV140" s="20">
        <v>100</v>
      </c>
      <c r="AX140" s="1" t="s">
        <v>646</v>
      </c>
      <c r="AY140" s="14" t="str">
        <f>HYPERLINK("#단가대비표!B49", "▶바로가기")</f>
        <v>▶바로가기</v>
      </c>
    </row>
    <row r="141" spans="1:51" ht="28.5" customHeight="1" x14ac:dyDescent="0.3">
      <c r="A141" s="21" t="s">
        <v>299</v>
      </c>
      <c r="B141" s="17" t="s">
        <v>623</v>
      </c>
      <c r="C141" s="21" t="s">
        <v>128</v>
      </c>
      <c r="D141" s="24">
        <v>16.55</v>
      </c>
      <c r="E141" s="11"/>
      <c r="F141" s="4"/>
      <c r="G141" s="11"/>
      <c r="H141" s="4"/>
      <c r="I141" s="11"/>
      <c r="J141" s="4"/>
      <c r="K141" s="11"/>
      <c r="L141" s="4"/>
      <c r="M141" s="17"/>
      <c r="N141" s="3" t="str">
        <f>HYPERLINK("#일위대가목록!A24", "AJ0301000200")</f>
        <v>AJ0301000200</v>
      </c>
      <c r="O141" s="15" t="s">
        <v>646</v>
      </c>
      <c r="P141" s="15" t="s">
        <v>646</v>
      </c>
      <c r="Q141" s="15" t="s">
        <v>200</v>
      </c>
      <c r="R141" s="20">
        <v>805137</v>
      </c>
      <c r="S141" s="20">
        <v>10</v>
      </c>
      <c r="T141" s="15" t="s">
        <v>657</v>
      </c>
      <c r="U141" s="15" t="s">
        <v>546</v>
      </c>
      <c r="V141" s="15" t="s">
        <v>546</v>
      </c>
      <c r="W141" s="15" t="s">
        <v>646</v>
      </c>
      <c r="X141" s="20">
        <v>0</v>
      </c>
      <c r="Y141" s="20">
        <v>0</v>
      </c>
      <c r="Z141" s="20">
        <v>0</v>
      </c>
      <c r="AA141" s="20">
        <v>0</v>
      </c>
      <c r="AB141" s="20">
        <v>0</v>
      </c>
      <c r="AC141" s="20">
        <v>0</v>
      </c>
      <c r="AD141" s="20">
        <v>0</v>
      </c>
      <c r="AE141" s="20">
        <v>0</v>
      </c>
      <c r="AF141" s="20">
        <v>0</v>
      </c>
      <c r="AG141" s="20">
        <v>0</v>
      </c>
      <c r="AH141" s="20">
        <v>0</v>
      </c>
      <c r="AI141" s="20">
        <v>7</v>
      </c>
      <c r="AJ141" s="20">
        <v>0</v>
      </c>
      <c r="AK141" s="20">
        <v>0</v>
      </c>
      <c r="AL141" s="20">
        <v>0</v>
      </c>
      <c r="AM141" s="20">
        <v>0</v>
      </c>
      <c r="AN141" s="20">
        <v>0</v>
      </c>
      <c r="AO141" s="20">
        <v>0</v>
      </c>
      <c r="AP141" s="20">
        <v>0</v>
      </c>
      <c r="AQ141" s="20">
        <v>0</v>
      </c>
      <c r="AR141" s="20">
        <v>0</v>
      </c>
      <c r="AS141" s="20">
        <v>0</v>
      </c>
      <c r="AT141" s="20">
        <v>0</v>
      </c>
      <c r="AU141" s="15" t="s">
        <v>646</v>
      </c>
      <c r="AV141" s="20">
        <v>100</v>
      </c>
      <c r="AX141" s="1" t="s">
        <v>646</v>
      </c>
      <c r="AY141" s="14" t="str">
        <f>HYPERLINK("#일위대가목록!A24", "▶바로가기")</f>
        <v>▶바로가기</v>
      </c>
    </row>
    <row r="142" spans="1:51" ht="28.5" customHeight="1" x14ac:dyDescent="0.3">
      <c r="A142" s="21" t="s">
        <v>792</v>
      </c>
      <c r="B142" s="17" t="s">
        <v>246</v>
      </c>
      <c r="C142" s="21" t="s">
        <v>128</v>
      </c>
      <c r="D142" s="24">
        <v>16.55</v>
      </c>
      <c r="E142" s="11"/>
      <c r="F142" s="4"/>
      <c r="G142" s="11"/>
      <c r="H142" s="4"/>
      <c r="I142" s="11"/>
      <c r="J142" s="4"/>
      <c r="K142" s="11"/>
      <c r="L142" s="4"/>
      <c r="M142" s="17"/>
      <c r="N142" s="3" t="str">
        <f>HYPERLINK("#단가대비표!B44", "ZA00000000000001")</f>
        <v>ZA00000000000001</v>
      </c>
      <c r="O142" s="15" t="s">
        <v>646</v>
      </c>
      <c r="P142" s="15" t="s">
        <v>646</v>
      </c>
      <c r="Q142" s="15" t="s">
        <v>200</v>
      </c>
      <c r="R142" s="20">
        <v>805137</v>
      </c>
      <c r="S142" s="20">
        <v>20</v>
      </c>
      <c r="T142" s="15" t="s">
        <v>546</v>
      </c>
      <c r="U142" s="15" t="s">
        <v>546</v>
      </c>
      <c r="V142" s="15" t="s">
        <v>657</v>
      </c>
      <c r="W142" s="15" t="s">
        <v>646</v>
      </c>
      <c r="X142" s="20">
        <v>0</v>
      </c>
      <c r="Y142" s="20">
        <v>0</v>
      </c>
      <c r="Z142" s="20">
        <v>0</v>
      </c>
      <c r="AA142" s="20">
        <v>0</v>
      </c>
      <c r="AB142" s="20">
        <v>0</v>
      </c>
      <c r="AC142" s="20">
        <v>0</v>
      </c>
      <c r="AD142" s="20">
        <v>0</v>
      </c>
      <c r="AE142" s="20">
        <v>0</v>
      </c>
      <c r="AF142" s="20">
        <v>0</v>
      </c>
      <c r="AG142" s="20">
        <v>0</v>
      </c>
      <c r="AH142" s="20">
        <v>0</v>
      </c>
      <c r="AI142" s="20">
        <v>7</v>
      </c>
      <c r="AJ142" s="20">
        <v>0</v>
      </c>
      <c r="AK142" s="20">
        <v>0</v>
      </c>
      <c r="AL142" s="20">
        <v>0</v>
      </c>
      <c r="AM142" s="20">
        <v>0</v>
      </c>
      <c r="AN142" s="20">
        <v>0</v>
      </c>
      <c r="AO142" s="20">
        <v>0</v>
      </c>
      <c r="AP142" s="20">
        <v>0</v>
      </c>
      <c r="AQ142" s="20">
        <v>0</v>
      </c>
      <c r="AR142" s="20">
        <v>0</v>
      </c>
      <c r="AS142" s="20">
        <v>0</v>
      </c>
      <c r="AT142" s="20">
        <v>0</v>
      </c>
      <c r="AU142" s="15"/>
      <c r="AV142" s="20">
        <v>100</v>
      </c>
      <c r="AX142" s="1" t="s">
        <v>646</v>
      </c>
      <c r="AY142" s="14" t="str">
        <f>HYPERLINK("#단가대비표!B44", "▶바로가기")</f>
        <v>▶바로가기</v>
      </c>
    </row>
    <row r="143" spans="1:51" ht="28.5" customHeight="1" x14ac:dyDescent="0.3">
      <c r="A143" s="21" t="s">
        <v>646</v>
      </c>
      <c r="B143" s="21" t="s">
        <v>646</v>
      </c>
      <c r="C143" s="21" t="s">
        <v>646</v>
      </c>
      <c r="D143" s="4">
        <v>0</v>
      </c>
      <c r="E143" s="11"/>
      <c r="F143" s="4"/>
      <c r="G143" s="11"/>
      <c r="H143" s="4"/>
      <c r="I143" s="11"/>
      <c r="J143" s="4"/>
      <c r="K143" s="11"/>
      <c r="L143" s="4"/>
      <c r="M143" s="21" t="s">
        <v>646</v>
      </c>
      <c r="N143" s="21" t="s">
        <v>646</v>
      </c>
      <c r="O143" s="21" t="s">
        <v>646</v>
      </c>
      <c r="P143" s="21" t="s">
        <v>646</v>
      </c>
      <c r="AU143" s="15"/>
      <c r="AV143" s="20">
        <v>0</v>
      </c>
    </row>
    <row r="144" spans="1:51" ht="28.5" customHeight="1" x14ac:dyDescent="0.3">
      <c r="A144" s="21" t="s">
        <v>646</v>
      </c>
      <c r="B144" s="21" t="s">
        <v>646</v>
      </c>
      <c r="C144" s="21" t="s">
        <v>646</v>
      </c>
      <c r="D144" s="4">
        <v>0</v>
      </c>
      <c r="E144" s="11"/>
      <c r="F144" s="4"/>
      <c r="G144" s="11"/>
      <c r="H144" s="4"/>
      <c r="I144" s="11"/>
      <c r="J144" s="4"/>
      <c r="K144" s="11"/>
      <c r="L144" s="4"/>
      <c r="M144" s="21" t="s">
        <v>646</v>
      </c>
      <c r="N144" s="21" t="s">
        <v>646</v>
      </c>
      <c r="O144" s="21" t="s">
        <v>646</v>
      </c>
      <c r="P144" s="21" t="s">
        <v>646</v>
      </c>
      <c r="AU144" s="15"/>
      <c r="AV144" s="20">
        <v>0</v>
      </c>
    </row>
    <row r="145" spans="1:51" ht="28.5" customHeight="1" x14ac:dyDescent="0.3">
      <c r="A145" s="21" t="s">
        <v>646</v>
      </c>
      <c r="B145" s="21" t="s">
        <v>646</v>
      </c>
      <c r="C145" s="21" t="s">
        <v>646</v>
      </c>
      <c r="D145" s="4">
        <v>0</v>
      </c>
      <c r="E145" s="11"/>
      <c r="F145" s="4"/>
      <c r="G145" s="11"/>
      <c r="H145" s="4"/>
      <c r="I145" s="11"/>
      <c r="J145" s="4"/>
      <c r="K145" s="11"/>
      <c r="L145" s="4"/>
      <c r="M145" s="21" t="s">
        <v>646</v>
      </c>
      <c r="N145" s="21" t="s">
        <v>646</v>
      </c>
      <c r="O145" s="21" t="s">
        <v>646</v>
      </c>
      <c r="P145" s="21" t="s">
        <v>646</v>
      </c>
      <c r="AU145" s="15"/>
      <c r="AV145" s="20">
        <v>0</v>
      </c>
    </row>
    <row r="146" spans="1:51" ht="28.5" customHeight="1" x14ac:dyDescent="0.3">
      <c r="A146" s="21" t="s">
        <v>646</v>
      </c>
      <c r="B146" s="21" t="s">
        <v>646</v>
      </c>
      <c r="C146" s="21" t="s">
        <v>646</v>
      </c>
      <c r="D146" s="4">
        <v>0</v>
      </c>
      <c r="E146" s="11"/>
      <c r="F146" s="4"/>
      <c r="G146" s="11"/>
      <c r="H146" s="4"/>
      <c r="I146" s="11"/>
      <c r="J146" s="4"/>
      <c r="K146" s="11"/>
      <c r="L146" s="4"/>
      <c r="M146" s="21" t="s">
        <v>646</v>
      </c>
      <c r="N146" s="21" t="s">
        <v>646</v>
      </c>
      <c r="O146" s="21" t="s">
        <v>646</v>
      </c>
      <c r="P146" s="21" t="s">
        <v>646</v>
      </c>
      <c r="AU146" s="15"/>
      <c r="AV146" s="20">
        <v>0</v>
      </c>
    </row>
    <row r="147" spans="1:51" ht="28.5" customHeight="1" x14ac:dyDescent="0.3">
      <c r="A147" s="21" t="s">
        <v>646</v>
      </c>
      <c r="B147" s="21" t="s">
        <v>646</v>
      </c>
      <c r="C147" s="21" t="s">
        <v>646</v>
      </c>
      <c r="D147" s="4">
        <v>0</v>
      </c>
      <c r="E147" s="11"/>
      <c r="F147" s="4"/>
      <c r="G147" s="11"/>
      <c r="H147" s="4"/>
      <c r="I147" s="11"/>
      <c r="J147" s="4"/>
      <c r="K147" s="11"/>
      <c r="L147" s="4"/>
      <c r="M147" s="21" t="s">
        <v>646</v>
      </c>
      <c r="N147" s="21" t="s">
        <v>646</v>
      </c>
      <c r="O147" s="21" t="s">
        <v>646</v>
      </c>
      <c r="P147" s="21" t="s">
        <v>646</v>
      </c>
      <c r="AU147" s="15"/>
      <c r="AV147" s="20">
        <v>0</v>
      </c>
    </row>
    <row r="148" spans="1:51" ht="28.5" customHeight="1" x14ac:dyDescent="0.3">
      <c r="A148" s="21" t="s">
        <v>646</v>
      </c>
      <c r="B148" s="21" t="s">
        <v>646</v>
      </c>
      <c r="C148" s="21" t="s">
        <v>646</v>
      </c>
      <c r="D148" s="4">
        <v>0</v>
      </c>
      <c r="E148" s="11"/>
      <c r="F148" s="4"/>
      <c r="G148" s="11"/>
      <c r="H148" s="4"/>
      <c r="I148" s="11"/>
      <c r="J148" s="4"/>
      <c r="K148" s="11"/>
      <c r="L148" s="4"/>
      <c r="M148" s="21" t="s">
        <v>646</v>
      </c>
      <c r="N148" s="21" t="s">
        <v>646</v>
      </c>
      <c r="O148" s="21" t="s">
        <v>646</v>
      </c>
      <c r="P148" s="21" t="s">
        <v>646</v>
      </c>
      <c r="AU148" s="15"/>
      <c r="AV148" s="20">
        <v>0</v>
      </c>
    </row>
    <row r="149" spans="1:51" ht="28.5" customHeight="1" x14ac:dyDescent="0.3">
      <c r="A149" s="21" t="s">
        <v>646</v>
      </c>
      <c r="B149" s="21" t="s">
        <v>646</v>
      </c>
      <c r="C149" s="21" t="s">
        <v>646</v>
      </c>
      <c r="D149" s="4">
        <v>0</v>
      </c>
      <c r="E149" s="11"/>
      <c r="F149" s="4"/>
      <c r="G149" s="11"/>
      <c r="H149" s="4"/>
      <c r="I149" s="11"/>
      <c r="J149" s="4"/>
      <c r="K149" s="11"/>
      <c r="L149" s="4"/>
      <c r="M149" s="21" t="s">
        <v>646</v>
      </c>
      <c r="N149" s="21" t="s">
        <v>646</v>
      </c>
      <c r="O149" s="21" t="s">
        <v>646</v>
      </c>
      <c r="P149" s="21" t="s">
        <v>646</v>
      </c>
      <c r="AU149" s="15"/>
      <c r="AV149" s="20">
        <v>0</v>
      </c>
    </row>
    <row r="150" spans="1:51" ht="28.5" customHeight="1" x14ac:dyDescent="0.3">
      <c r="A150" s="21" t="s">
        <v>646</v>
      </c>
      <c r="B150" s="21" t="s">
        <v>646</v>
      </c>
      <c r="C150" s="21" t="s">
        <v>646</v>
      </c>
      <c r="D150" s="4">
        <v>0</v>
      </c>
      <c r="E150" s="11"/>
      <c r="F150" s="4"/>
      <c r="G150" s="11"/>
      <c r="H150" s="4"/>
      <c r="I150" s="11"/>
      <c r="J150" s="4"/>
      <c r="K150" s="11"/>
      <c r="L150" s="4"/>
      <c r="M150" s="21" t="s">
        <v>646</v>
      </c>
      <c r="N150" s="21" t="s">
        <v>646</v>
      </c>
      <c r="O150" s="21" t="s">
        <v>646</v>
      </c>
      <c r="P150" s="21" t="s">
        <v>646</v>
      </c>
      <c r="AU150" s="15"/>
      <c r="AV150" s="20">
        <v>0</v>
      </c>
    </row>
    <row r="151" spans="1:51" ht="28.5" customHeight="1" x14ac:dyDescent="0.3">
      <c r="A151" s="21" t="s">
        <v>646</v>
      </c>
      <c r="B151" s="21" t="s">
        <v>646</v>
      </c>
      <c r="C151" s="21" t="s">
        <v>646</v>
      </c>
      <c r="D151" s="4">
        <v>0</v>
      </c>
      <c r="E151" s="11"/>
      <c r="F151" s="4"/>
      <c r="G151" s="11"/>
      <c r="H151" s="4"/>
      <c r="I151" s="11"/>
      <c r="J151" s="4"/>
      <c r="K151" s="11"/>
      <c r="L151" s="4"/>
      <c r="M151" s="21" t="s">
        <v>646</v>
      </c>
      <c r="N151" s="21" t="s">
        <v>646</v>
      </c>
      <c r="O151" s="21" t="s">
        <v>646</v>
      </c>
      <c r="P151" s="21" t="s">
        <v>646</v>
      </c>
      <c r="AU151" s="15"/>
      <c r="AV151" s="20">
        <v>0</v>
      </c>
    </row>
    <row r="152" spans="1:51" ht="28.5" customHeight="1" x14ac:dyDescent="0.3">
      <c r="A152" s="21" t="s">
        <v>646</v>
      </c>
      <c r="B152" s="21" t="s">
        <v>646</v>
      </c>
      <c r="C152" s="21" t="s">
        <v>646</v>
      </c>
      <c r="D152" s="4">
        <v>0</v>
      </c>
      <c r="E152" s="11"/>
      <c r="F152" s="4"/>
      <c r="G152" s="11"/>
      <c r="H152" s="4"/>
      <c r="I152" s="11"/>
      <c r="J152" s="4"/>
      <c r="K152" s="11"/>
      <c r="L152" s="4"/>
      <c r="M152" s="21" t="s">
        <v>646</v>
      </c>
      <c r="N152" s="21" t="s">
        <v>646</v>
      </c>
      <c r="O152" s="21" t="s">
        <v>646</v>
      </c>
      <c r="P152" s="21" t="s">
        <v>646</v>
      </c>
      <c r="AU152" s="15"/>
      <c r="AV152" s="20">
        <v>0</v>
      </c>
    </row>
    <row r="153" spans="1:51" ht="28.5" customHeight="1" x14ac:dyDescent="0.3">
      <c r="A153" s="21" t="s">
        <v>646</v>
      </c>
      <c r="B153" s="21" t="s">
        <v>646</v>
      </c>
      <c r="C153" s="21" t="s">
        <v>646</v>
      </c>
      <c r="D153" s="4">
        <v>0</v>
      </c>
      <c r="E153" s="11"/>
      <c r="F153" s="4"/>
      <c r="G153" s="11"/>
      <c r="H153" s="4"/>
      <c r="I153" s="11"/>
      <c r="J153" s="4"/>
      <c r="K153" s="11"/>
      <c r="L153" s="4"/>
      <c r="M153" s="21" t="s">
        <v>646</v>
      </c>
      <c r="N153" s="21" t="s">
        <v>646</v>
      </c>
      <c r="O153" s="21" t="s">
        <v>646</v>
      </c>
      <c r="P153" s="21" t="s">
        <v>646</v>
      </c>
      <c r="AU153" s="15"/>
      <c r="AV153" s="20">
        <v>0</v>
      </c>
    </row>
    <row r="154" spans="1:51" ht="28.5" customHeight="1" x14ac:dyDescent="0.3">
      <c r="A154" s="21" t="s">
        <v>646</v>
      </c>
      <c r="B154" s="21" t="s">
        <v>646</v>
      </c>
      <c r="C154" s="21" t="s">
        <v>646</v>
      </c>
      <c r="D154" s="4">
        <v>0</v>
      </c>
      <c r="E154" s="11"/>
      <c r="F154" s="4"/>
      <c r="G154" s="11"/>
      <c r="H154" s="4"/>
      <c r="I154" s="11"/>
      <c r="J154" s="4"/>
      <c r="K154" s="11"/>
      <c r="L154" s="4"/>
      <c r="M154" s="21" t="s">
        <v>646</v>
      </c>
      <c r="N154" s="21" t="s">
        <v>646</v>
      </c>
      <c r="O154" s="21" t="s">
        <v>646</v>
      </c>
      <c r="P154" s="21" t="s">
        <v>646</v>
      </c>
      <c r="AU154" s="15"/>
      <c r="AV154" s="20">
        <v>0</v>
      </c>
    </row>
    <row r="155" spans="1:51" ht="28.5" customHeight="1" x14ac:dyDescent="0.3">
      <c r="A155" s="21" t="s">
        <v>646</v>
      </c>
      <c r="B155" s="21" t="s">
        <v>646</v>
      </c>
      <c r="C155" s="21" t="s">
        <v>646</v>
      </c>
      <c r="D155" s="4">
        <v>0</v>
      </c>
      <c r="E155" s="11"/>
      <c r="F155" s="4"/>
      <c r="G155" s="11"/>
      <c r="H155" s="4"/>
      <c r="I155" s="11"/>
      <c r="J155" s="4"/>
      <c r="K155" s="11"/>
      <c r="L155" s="4"/>
      <c r="M155" s="21" t="s">
        <v>646</v>
      </c>
      <c r="N155" s="21" t="s">
        <v>646</v>
      </c>
      <c r="O155" s="21" t="s">
        <v>646</v>
      </c>
      <c r="P155" s="21" t="s">
        <v>646</v>
      </c>
      <c r="AU155" s="15"/>
      <c r="AV155" s="20">
        <v>0</v>
      </c>
    </row>
    <row r="156" spans="1:51" ht="28.5" customHeight="1" x14ac:dyDescent="0.3">
      <c r="A156" s="21" t="s">
        <v>646</v>
      </c>
      <c r="B156" s="21" t="s">
        <v>646</v>
      </c>
      <c r="C156" s="21" t="s">
        <v>646</v>
      </c>
      <c r="D156" s="4">
        <v>0</v>
      </c>
      <c r="E156" s="11"/>
      <c r="F156" s="4"/>
      <c r="G156" s="11"/>
      <c r="H156" s="4"/>
      <c r="I156" s="11"/>
      <c r="J156" s="4"/>
      <c r="K156" s="11"/>
      <c r="L156" s="4"/>
      <c r="M156" s="21" t="s">
        <v>646</v>
      </c>
      <c r="N156" s="21" t="s">
        <v>646</v>
      </c>
      <c r="O156" s="21" t="s">
        <v>646</v>
      </c>
      <c r="P156" s="21" t="s">
        <v>646</v>
      </c>
      <c r="AU156" s="15"/>
      <c r="AV156" s="20">
        <v>0</v>
      </c>
    </row>
    <row r="157" spans="1:51" ht="28.5" customHeight="1" x14ac:dyDescent="0.3">
      <c r="A157" s="21" t="s">
        <v>646</v>
      </c>
      <c r="B157" s="21" t="s">
        <v>646</v>
      </c>
      <c r="C157" s="21" t="s">
        <v>646</v>
      </c>
      <c r="D157" s="4">
        <v>0</v>
      </c>
      <c r="E157" s="11"/>
      <c r="F157" s="4"/>
      <c r="G157" s="11"/>
      <c r="H157" s="4"/>
      <c r="I157" s="11"/>
      <c r="J157" s="4"/>
      <c r="K157" s="11"/>
      <c r="L157" s="4"/>
      <c r="M157" s="21" t="s">
        <v>646</v>
      </c>
      <c r="N157" s="21" t="s">
        <v>646</v>
      </c>
      <c r="O157" s="21" t="s">
        <v>646</v>
      </c>
      <c r="P157" s="21" t="s">
        <v>646</v>
      </c>
      <c r="AU157" s="15"/>
      <c r="AV157" s="20">
        <v>0</v>
      </c>
    </row>
    <row r="158" spans="1:51" ht="28.5" customHeight="1" x14ac:dyDescent="0.3">
      <c r="A158" s="21" t="s">
        <v>401</v>
      </c>
      <c r="B158" s="21" t="s">
        <v>646</v>
      </c>
      <c r="C158" s="21" t="s">
        <v>646</v>
      </c>
      <c r="D158" s="21" t="s">
        <v>646</v>
      </c>
      <c r="E158" s="2"/>
      <c r="F158" s="4"/>
      <c r="G158" s="4"/>
      <c r="H158" s="4"/>
      <c r="I158" s="4"/>
      <c r="J158" s="4"/>
      <c r="K158" s="10"/>
      <c r="L158" s="4"/>
      <c r="M158" s="21"/>
    </row>
    <row r="159" spans="1:51" ht="28.5" customHeight="1" x14ac:dyDescent="0.3">
      <c r="A159" s="7" t="s">
        <v>591</v>
      </c>
      <c r="B159" s="21"/>
      <c r="C159" s="21"/>
      <c r="D159" s="21" t="s">
        <v>646</v>
      </c>
      <c r="E159" s="21"/>
      <c r="F159" s="21"/>
      <c r="G159" s="21"/>
      <c r="H159" s="21"/>
      <c r="I159" s="21"/>
      <c r="J159" s="21"/>
      <c r="K159" s="21"/>
      <c r="L159" s="21"/>
      <c r="M159" s="21" t="s">
        <v>646</v>
      </c>
      <c r="N159" s="25" t="s">
        <v>646</v>
      </c>
      <c r="Q159" s="15" t="s">
        <v>745</v>
      </c>
      <c r="R159" s="20">
        <v>935666</v>
      </c>
      <c r="S159" s="20">
        <v>0</v>
      </c>
      <c r="AH159" s="15"/>
    </row>
    <row r="160" spans="1:51" ht="28.5" customHeight="1" x14ac:dyDescent="0.3">
      <c r="A160" s="21" t="s">
        <v>604</v>
      </c>
      <c r="B160" s="17" t="s">
        <v>258</v>
      </c>
      <c r="C160" s="21" t="s">
        <v>229</v>
      </c>
      <c r="D160" s="24">
        <v>29.4</v>
      </c>
      <c r="E160" s="11"/>
      <c r="F160" s="4"/>
      <c r="G160" s="11"/>
      <c r="H160" s="4"/>
      <c r="I160" s="11"/>
      <c r="J160" s="4"/>
      <c r="K160" s="11"/>
      <c r="L160" s="4"/>
      <c r="M160" s="17" t="s">
        <v>646</v>
      </c>
      <c r="N160" s="3" t="str">
        <f>HYPERLINK("#일위대가목록!A25", "AH1210002400")</f>
        <v>AH1210002400</v>
      </c>
      <c r="O160" s="15" t="s">
        <v>646</v>
      </c>
      <c r="P160" s="15" t="s">
        <v>646</v>
      </c>
      <c r="Q160" s="15" t="s">
        <v>745</v>
      </c>
      <c r="R160" s="20">
        <v>935666</v>
      </c>
      <c r="S160" s="20">
        <v>10</v>
      </c>
      <c r="T160" s="15" t="s">
        <v>657</v>
      </c>
      <c r="U160" s="15" t="s">
        <v>546</v>
      </c>
      <c r="V160" s="15" t="s">
        <v>546</v>
      </c>
      <c r="W160" s="15" t="s">
        <v>646</v>
      </c>
      <c r="X160" s="20">
        <v>0</v>
      </c>
      <c r="Y160" s="20">
        <v>0</v>
      </c>
      <c r="Z160" s="20">
        <v>0</v>
      </c>
      <c r="AA160" s="20">
        <v>0</v>
      </c>
      <c r="AB160" s="20">
        <v>0</v>
      </c>
      <c r="AC160" s="20">
        <v>0</v>
      </c>
      <c r="AD160" s="20">
        <v>0</v>
      </c>
      <c r="AE160" s="20">
        <v>0</v>
      </c>
      <c r="AF160" s="20">
        <v>0</v>
      </c>
      <c r="AG160" s="20">
        <v>0</v>
      </c>
      <c r="AH160" s="20">
        <v>0</v>
      </c>
      <c r="AI160" s="20">
        <v>8</v>
      </c>
      <c r="AJ160" s="20">
        <v>0</v>
      </c>
      <c r="AK160" s="20">
        <v>0</v>
      </c>
      <c r="AL160" s="20">
        <v>0</v>
      </c>
      <c r="AM160" s="20">
        <v>0</v>
      </c>
      <c r="AN160" s="20">
        <v>0</v>
      </c>
      <c r="AO160" s="20">
        <v>0</v>
      </c>
      <c r="AP160" s="20">
        <v>0</v>
      </c>
      <c r="AQ160" s="20">
        <v>0</v>
      </c>
      <c r="AR160" s="20">
        <v>0</v>
      </c>
      <c r="AS160" s="20">
        <v>0</v>
      </c>
      <c r="AT160" s="20">
        <v>0</v>
      </c>
      <c r="AU160" s="15" t="s">
        <v>646</v>
      </c>
      <c r="AV160" s="20">
        <v>100</v>
      </c>
      <c r="AX160" s="1" t="s">
        <v>646</v>
      </c>
      <c r="AY160" s="14" t="str">
        <f>HYPERLINK("#일위대가목록!A25", "▶바로가기")</f>
        <v>▶바로가기</v>
      </c>
    </row>
    <row r="161" spans="1:51" ht="28.5" customHeight="1" x14ac:dyDescent="0.3">
      <c r="A161" s="21" t="s">
        <v>592</v>
      </c>
      <c r="B161" s="17" t="s">
        <v>156</v>
      </c>
      <c r="C161" s="21" t="s">
        <v>229</v>
      </c>
      <c r="D161" s="24">
        <v>5.4</v>
      </c>
      <c r="E161" s="11"/>
      <c r="F161" s="4"/>
      <c r="G161" s="11"/>
      <c r="H161" s="4"/>
      <c r="I161" s="11"/>
      <c r="J161" s="4"/>
      <c r="K161" s="11"/>
      <c r="L161" s="4"/>
      <c r="M161" s="17"/>
      <c r="N161" s="3" t="str">
        <f>HYPERLINK("#단가대비표!B45", "ZA00000000000002")</f>
        <v>ZA00000000000002</v>
      </c>
      <c r="O161" s="15" t="s">
        <v>646</v>
      </c>
      <c r="P161" s="15" t="s">
        <v>646</v>
      </c>
      <c r="Q161" s="15" t="s">
        <v>745</v>
      </c>
      <c r="R161" s="20">
        <v>935666</v>
      </c>
      <c r="S161" s="20">
        <v>20</v>
      </c>
      <c r="T161" s="15" t="s">
        <v>546</v>
      </c>
      <c r="U161" s="15" t="s">
        <v>546</v>
      </c>
      <c r="V161" s="15" t="s">
        <v>657</v>
      </c>
      <c r="W161" s="15" t="s">
        <v>646</v>
      </c>
      <c r="X161" s="20">
        <v>0</v>
      </c>
      <c r="Y161" s="20">
        <v>0</v>
      </c>
      <c r="Z161" s="20">
        <v>0</v>
      </c>
      <c r="AA161" s="20">
        <v>0</v>
      </c>
      <c r="AB161" s="20">
        <v>0</v>
      </c>
      <c r="AC161" s="20">
        <v>0</v>
      </c>
      <c r="AD161" s="20">
        <v>0</v>
      </c>
      <c r="AE161" s="20">
        <v>0</v>
      </c>
      <c r="AF161" s="20">
        <v>0</v>
      </c>
      <c r="AG161" s="20">
        <v>0</v>
      </c>
      <c r="AH161" s="20">
        <v>0</v>
      </c>
      <c r="AI161" s="20">
        <v>8</v>
      </c>
      <c r="AJ161" s="20">
        <v>0</v>
      </c>
      <c r="AK161" s="20">
        <v>0</v>
      </c>
      <c r="AL161" s="20">
        <v>0</v>
      </c>
      <c r="AM161" s="20">
        <v>0</v>
      </c>
      <c r="AN161" s="20">
        <v>0</v>
      </c>
      <c r="AO161" s="20">
        <v>0</v>
      </c>
      <c r="AP161" s="20">
        <v>0</v>
      </c>
      <c r="AQ161" s="20">
        <v>0</v>
      </c>
      <c r="AR161" s="20">
        <v>0</v>
      </c>
      <c r="AS161" s="20">
        <v>0</v>
      </c>
      <c r="AT161" s="20">
        <v>0</v>
      </c>
      <c r="AU161" s="15"/>
      <c r="AV161" s="20">
        <v>100</v>
      </c>
      <c r="AX161" s="1" t="s">
        <v>646</v>
      </c>
      <c r="AY161" s="14" t="str">
        <f>HYPERLINK("#단가대비표!B45", "▶바로가기")</f>
        <v>▶바로가기</v>
      </c>
    </row>
    <row r="162" spans="1:51" ht="28.5" customHeight="1" x14ac:dyDescent="0.3">
      <c r="A162" s="21" t="s">
        <v>593</v>
      </c>
      <c r="B162" s="17" t="s">
        <v>89</v>
      </c>
      <c r="C162" s="21" t="s">
        <v>128</v>
      </c>
      <c r="D162" s="24">
        <v>3.9</v>
      </c>
      <c r="E162" s="11"/>
      <c r="F162" s="4"/>
      <c r="G162" s="11"/>
      <c r="H162" s="4"/>
      <c r="I162" s="11"/>
      <c r="J162" s="4"/>
      <c r="K162" s="11"/>
      <c r="L162" s="4"/>
      <c r="M162" s="17"/>
      <c r="N162" s="3" t="str">
        <f>HYPERLINK("#단가대비표!B51", "ZA00000000000008")</f>
        <v>ZA00000000000008</v>
      </c>
      <c r="O162" s="15" t="s">
        <v>646</v>
      </c>
      <c r="P162" s="15" t="s">
        <v>646</v>
      </c>
      <c r="Q162" s="15" t="s">
        <v>745</v>
      </c>
      <c r="R162" s="20">
        <v>935666</v>
      </c>
      <c r="S162" s="20">
        <v>30</v>
      </c>
      <c r="T162" s="15" t="s">
        <v>546</v>
      </c>
      <c r="U162" s="15" t="s">
        <v>546</v>
      </c>
      <c r="V162" s="15" t="s">
        <v>657</v>
      </c>
      <c r="W162" s="15" t="s">
        <v>646</v>
      </c>
      <c r="X162" s="20">
        <v>0</v>
      </c>
      <c r="Y162" s="20">
        <v>0</v>
      </c>
      <c r="Z162" s="20">
        <v>0</v>
      </c>
      <c r="AA162" s="20">
        <v>0</v>
      </c>
      <c r="AB162" s="20">
        <v>0</v>
      </c>
      <c r="AC162" s="20">
        <v>0</v>
      </c>
      <c r="AD162" s="20">
        <v>0</v>
      </c>
      <c r="AE162" s="20">
        <v>0</v>
      </c>
      <c r="AF162" s="20">
        <v>0</v>
      </c>
      <c r="AG162" s="20">
        <v>0</v>
      </c>
      <c r="AH162" s="20">
        <v>0</v>
      </c>
      <c r="AI162" s="20">
        <v>8</v>
      </c>
      <c r="AJ162" s="20">
        <v>0</v>
      </c>
      <c r="AK162" s="20">
        <v>0</v>
      </c>
      <c r="AL162" s="20">
        <v>0</v>
      </c>
      <c r="AM162" s="20">
        <v>0</v>
      </c>
      <c r="AN162" s="20">
        <v>0</v>
      </c>
      <c r="AO162" s="20">
        <v>0</v>
      </c>
      <c r="AP162" s="20">
        <v>0</v>
      </c>
      <c r="AQ162" s="20">
        <v>0</v>
      </c>
      <c r="AR162" s="20">
        <v>0</v>
      </c>
      <c r="AS162" s="20">
        <v>0</v>
      </c>
      <c r="AT162" s="20">
        <v>0</v>
      </c>
      <c r="AU162" s="15"/>
      <c r="AV162" s="20">
        <v>100</v>
      </c>
      <c r="AX162" s="1" t="s">
        <v>646</v>
      </c>
      <c r="AY162" s="14" t="str">
        <f>HYPERLINK("#단가대비표!B51", "▶바로가기")</f>
        <v>▶바로가기</v>
      </c>
    </row>
    <row r="163" spans="1:51" ht="28.5" customHeight="1" x14ac:dyDescent="0.3">
      <c r="A163" s="21" t="s">
        <v>646</v>
      </c>
      <c r="B163" s="21" t="s">
        <v>646</v>
      </c>
      <c r="C163" s="21" t="s">
        <v>646</v>
      </c>
      <c r="D163" s="4">
        <v>0</v>
      </c>
      <c r="E163" s="11"/>
      <c r="F163" s="4"/>
      <c r="G163" s="11"/>
      <c r="H163" s="4"/>
      <c r="I163" s="11"/>
      <c r="J163" s="4"/>
      <c r="K163" s="11"/>
      <c r="L163" s="4"/>
      <c r="M163" s="21" t="s">
        <v>646</v>
      </c>
      <c r="N163" s="21" t="s">
        <v>646</v>
      </c>
      <c r="O163" s="21" t="s">
        <v>646</v>
      </c>
      <c r="P163" s="21" t="s">
        <v>646</v>
      </c>
      <c r="AU163" s="15"/>
      <c r="AV163" s="20">
        <v>0</v>
      </c>
    </row>
    <row r="164" spans="1:51" ht="28.5" customHeight="1" x14ac:dyDescent="0.3">
      <c r="A164" s="21" t="s">
        <v>646</v>
      </c>
      <c r="B164" s="21" t="s">
        <v>646</v>
      </c>
      <c r="C164" s="21" t="s">
        <v>646</v>
      </c>
      <c r="D164" s="4">
        <v>0</v>
      </c>
      <c r="E164" s="11"/>
      <c r="F164" s="4"/>
      <c r="G164" s="11"/>
      <c r="H164" s="4"/>
      <c r="I164" s="11"/>
      <c r="J164" s="4"/>
      <c r="K164" s="11"/>
      <c r="L164" s="4"/>
      <c r="M164" s="21" t="s">
        <v>646</v>
      </c>
      <c r="N164" s="21" t="s">
        <v>646</v>
      </c>
      <c r="O164" s="21" t="s">
        <v>646</v>
      </c>
      <c r="P164" s="21" t="s">
        <v>646</v>
      </c>
      <c r="AU164" s="15"/>
      <c r="AV164" s="20">
        <v>0</v>
      </c>
    </row>
    <row r="165" spans="1:51" ht="28.5" customHeight="1" x14ac:dyDescent="0.3">
      <c r="A165" s="21" t="s">
        <v>646</v>
      </c>
      <c r="B165" s="21" t="s">
        <v>646</v>
      </c>
      <c r="C165" s="21" t="s">
        <v>646</v>
      </c>
      <c r="D165" s="4">
        <v>0</v>
      </c>
      <c r="E165" s="11"/>
      <c r="F165" s="4"/>
      <c r="G165" s="11"/>
      <c r="H165" s="4"/>
      <c r="I165" s="11"/>
      <c r="J165" s="4"/>
      <c r="K165" s="11"/>
      <c r="L165" s="4"/>
      <c r="M165" s="21" t="s">
        <v>646</v>
      </c>
      <c r="N165" s="21" t="s">
        <v>646</v>
      </c>
      <c r="O165" s="21" t="s">
        <v>646</v>
      </c>
      <c r="P165" s="21" t="s">
        <v>646</v>
      </c>
      <c r="AU165" s="15"/>
      <c r="AV165" s="20">
        <v>0</v>
      </c>
    </row>
    <row r="166" spans="1:51" ht="28.5" customHeight="1" x14ac:dyDescent="0.3">
      <c r="A166" s="21" t="s">
        <v>646</v>
      </c>
      <c r="B166" s="21" t="s">
        <v>646</v>
      </c>
      <c r="C166" s="21" t="s">
        <v>646</v>
      </c>
      <c r="D166" s="4">
        <v>0</v>
      </c>
      <c r="E166" s="11"/>
      <c r="F166" s="4"/>
      <c r="G166" s="11"/>
      <c r="H166" s="4"/>
      <c r="I166" s="11"/>
      <c r="J166" s="4"/>
      <c r="K166" s="11"/>
      <c r="L166" s="4"/>
      <c r="M166" s="21" t="s">
        <v>646</v>
      </c>
      <c r="N166" s="21" t="s">
        <v>646</v>
      </c>
      <c r="O166" s="21" t="s">
        <v>646</v>
      </c>
      <c r="P166" s="21" t="s">
        <v>646</v>
      </c>
      <c r="AU166" s="15"/>
      <c r="AV166" s="20">
        <v>0</v>
      </c>
    </row>
    <row r="167" spans="1:51" ht="28.5" customHeight="1" x14ac:dyDescent="0.3">
      <c r="A167" s="21" t="s">
        <v>646</v>
      </c>
      <c r="B167" s="21" t="s">
        <v>646</v>
      </c>
      <c r="C167" s="21" t="s">
        <v>646</v>
      </c>
      <c r="D167" s="4">
        <v>0</v>
      </c>
      <c r="E167" s="11"/>
      <c r="F167" s="4"/>
      <c r="G167" s="11"/>
      <c r="H167" s="4"/>
      <c r="I167" s="11"/>
      <c r="J167" s="4"/>
      <c r="K167" s="11"/>
      <c r="L167" s="4"/>
      <c r="M167" s="21" t="s">
        <v>646</v>
      </c>
      <c r="N167" s="21" t="s">
        <v>646</v>
      </c>
      <c r="O167" s="21" t="s">
        <v>646</v>
      </c>
      <c r="P167" s="21" t="s">
        <v>646</v>
      </c>
      <c r="AU167" s="15"/>
      <c r="AV167" s="20">
        <v>0</v>
      </c>
    </row>
    <row r="168" spans="1:51" ht="28.5" customHeight="1" x14ac:dyDescent="0.3">
      <c r="A168" s="21" t="s">
        <v>646</v>
      </c>
      <c r="B168" s="21" t="s">
        <v>646</v>
      </c>
      <c r="C168" s="21" t="s">
        <v>646</v>
      </c>
      <c r="D168" s="4">
        <v>0</v>
      </c>
      <c r="E168" s="11"/>
      <c r="F168" s="4"/>
      <c r="G168" s="11"/>
      <c r="H168" s="4"/>
      <c r="I168" s="11"/>
      <c r="J168" s="4"/>
      <c r="K168" s="11"/>
      <c r="L168" s="4"/>
      <c r="M168" s="21" t="s">
        <v>646</v>
      </c>
      <c r="N168" s="21" t="s">
        <v>646</v>
      </c>
      <c r="O168" s="21" t="s">
        <v>646</v>
      </c>
      <c r="P168" s="21" t="s">
        <v>646</v>
      </c>
      <c r="AU168" s="15"/>
      <c r="AV168" s="20">
        <v>0</v>
      </c>
    </row>
    <row r="169" spans="1:51" ht="28.5" customHeight="1" x14ac:dyDescent="0.3">
      <c r="A169" s="21" t="s">
        <v>646</v>
      </c>
      <c r="B169" s="21" t="s">
        <v>646</v>
      </c>
      <c r="C169" s="21" t="s">
        <v>646</v>
      </c>
      <c r="D169" s="4">
        <v>0</v>
      </c>
      <c r="E169" s="11"/>
      <c r="F169" s="4"/>
      <c r="G169" s="11"/>
      <c r="H169" s="4"/>
      <c r="I169" s="11"/>
      <c r="J169" s="4"/>
      <c r="K169" s="11"/>
      <c r="L169" s="4"/>
      <c r="M169" s="21" t="s">
        <v>646</v>
      </c>
      <c r="N169" s="21" t="s">
        <v>646</v>
      </c>
      <c r="O169" s="21" t="s">
        <v>646</v>
      </c>
      <c r="P169" s="21" t="s">
        <v>646</v>
      </c>
      <c r="AU169" s="15"/>
      <c r="AV169" s="20">
        <v>0</v>
      </c>
    </row>
    <row r="170" spans="1:51" ht="28.5" customHeight="1" x14ac:dyDescent="0.3">
      <c r="A170" s="21" t="s">
        <v>646</v>
      </c>
      <c r="B170" s="21" t="s">
        <v>646</v>
      </c>
      <c r="C170" s="21" t="s">
        <v>646</v>
      </c>
      <c r="D170" s="4">
        <v>0</v>
      </c>
      <c r="E170" s="11"/>
      <c r="F170" s="4"/>
      <c r="G170" s="11"/>
      <c r="H170" s="4"/>
      <c r="I170" s="11"/>
      <c r="J170" s="4"/>
      <c r="K170" s="11"/>
      <c r="L170" s="4"/>
      <c r="M170" s="21" t="s">
        <v>646</v>
      </c>
      <c r="N170" s="21" t="s">
        <v>646</v>
      </c>
      <c r="O170" s="21" t="s">
        <v>646</v>
      </c>
      <c r="P170" s="21" t="s">
        <v>646</v>
      </c>
      <c r="AU170" s="15"/>
      <c r="AV170" s="20">
        <v>0</v>
      </c>
    </row>
    <row r="171" spans="1:51" ht="28.5" customHeight="1" x14ac:dyDescent="0.3">
      <c r="A171" s="21" t="s">
        <v>646</v>
      </c>
      <c r="B171" s="21" t="s">
        <v>646</v>
      </c>
      <c r="C171" s="21" t="s">
        <v>646</v>
      </c>
      <c r="D171" s="4">
        <v>0</v>
      </c>
      <c r="E171" s="11"/>
      <c r="F171" s="4"/>
      <c r="G171" s="11"/>
      <c r="H171" s="4"/>
      <c r="I171" s="11"/>
      <c r="J171" s="4"/>
      <c r="K171" s="11"/>
      <c r="L171" s="4"/>
      <c r="M171" s="21" t="s">
        <v>646</v>
      </c>
      <c r="N171" s="21" t="s">
        <v>646</v>
      </c>
      <c r="O171" s="21" t="s">
        <v>646</v>
      </c>
      <c r="P171" s="21" t="s">
        <v>646</v>
      </c>
      <c r="AU171" s="15"/>
      <c r="AV171" s="20">
        <v>0</v>
      </c>
    </row>
    <row r="172" spans="1:51" ht="28.5" customHeight="1" x14ac:dyDescent="0.3">
      <c r="A172" s="21" t="s">
        <v>646</v>
      </c>
      <c r="B172" s="21" t="s">
        <v>646</v>
      </c>
      <c r="C172" s="21" t="s">
        <v>646</v>
      </c>
      <c r="D172" s="4">
        <v>0</v>
      </c>
      <c r="E172" s="11"/>
      <c r="F172" s="4"/>
      <c r="G172" s="11"/>
      <c r="H172" s="4"/>
      <c r="I172" s="11"/>
      <c r="J172" s="4"/>
      <c r="K172" s="11"/>
      <c r="L172" s="4"/>
      <c r="M172" s="21" t="s">
        <v>646</v>
      </c>
      <c r="N172" s="21" t="s">
        <v>646</v>
      </c>
      <c r="O172" s="21" t="s">
        <v>646</v>
      </c>
      <c r="P172" s="21" t="s">
        <v>646</v>
      </c>
      <c r="AU172" s="15"/>
      <c r="AV172" s="20">
        <v>0</v>
      </c>
    </row>
    <row r="173" spans="1:51" ht="28.5" customHeight="1" x14ac:dyDescent="0.3">
      <c r="A173" s="21" t="s">
        <v>646</v>
      </c>
      <c r="B173" s="21" t="s">
        <v>646</v>
      </c>
      <c r="C173" s="21" t="s">
        <v>646</v>
      </c>
      <c r="D173" s="4">
        <v>0</v>
      </c>
      <c r="E173" s="11"/>
      <c r="F173" s="4"/>
      <c r="G173" s="11"/>
      <c r="H173" s="4"/>
      <c r="I173" s="11"/>
      <c r="J173" s="4"/>
      <c r="K173" s="11"/>
      <c r="L173" s="4"/>
      <c r="M173" s="21" t="s">
        <v>646</v>
      </c>
      <c r="N173" s="21" t="s">
        <v>646</v>
      </c>
      <c r="O173" s="21" t="s">
        <v>646</v>
      </c>
      <c r="P173" s="21" t="s">
        <v>646</v>
      </c>
      <c r="AU173" s="15"/>
      <c r="AV173" s="20">
        <v>0</v>
      </c>
    </row>
    <row r="174" spans="1:51" ht="28.5" customHeight="1" x14ac:dyDescent="0.3">
      <c r="A174" s="21" t="s">
        <v>646</v>
      </c>
      <c r="B174" s="21" t="s">
        <v>646</v>
      </c>
      <c r="C174" s="21" t="s">
        <v>646</v>
      </c>
      <c r="D174" s="4">
        <v>0</v>
      </c>
      <c r="E174" s="11"/>
      <c r="F174" s="4"/>
      <c r="G174" s="11"/>
      <c r="H174" s="4"/>
      <c r="I174" s="11"/>
      <c r="J174" s="4"/>
      <c r="K174" s="11"/>
      <c r="L174" s="4"/>
      <c r="M174" s="21" t="s">
        <v>646</v>
      </c>
      <c r="N174" s="21" t="s">
        <v>646</v>
      </c>
      <c r="O174" s="21" t="s">
        <v>646</v>
      </c>
      <c r="P174" s="21" t="s">
        <v>646</v>
      </c>
      <c r="AU174" s="15"/>
      <c r="AV174" s="20">
        <v>0</v>
      </c>
    </row>
    <row r="175" spans="1:51" ht="28.5" customHeight="1" x14ac:dyDescent="0.3">
      <c r="A175" s="21" t="s">
        <v>646</v>
      </c>
      <c r="B175" s="21" t="s">
        <v>646</v>
      </c>
      <c r="C175" s="21" t="s">
        <v>646</v>
      </c>
      <c r="D175" s="4">
        <v>0</v>
      </c>
      <c r="E175" s="11"/>
      <c r="F175" s="4"/>
      <c r="G175" s="11"/>
      <c r="H175" s="4"/>
      <c r="I175" s="11"/>
      <c r="J175" s="4"/>
      <c r="K175" s="11"/>
      <c r="L175" s="4"/>
      <c r="M175" s="21" t="s">
        <v>646</v>
      </c>
      <c r="N175" s="21" t="s">
        <v>646</v>
      </c>
      <c r="O175" s="21" t="s">
        <v>646</v>
      </c>
      <c r="P175" s="21" t="s">
        <v>646</v>
      </c>
      <c r="AU175" s="15"/>
      <c r="AV175" s="20">
        <v>0</v>
      </c>
    </row>
    <row r="176" spans="1:51" ht="28.5" customHeight="1" x14ac:dyDescent="0.3">
      <c r="A176" s="21" t="s">
        <v>646</v>
      </c>
      <c r="B176" s="21" t="s">
        <v>646</v>
      </c>
      <c r="C176" s="21" t="s">
        <v>646</v>
      </c>
      <c r="D176" s="4">
        <v>0</v>
      </c>
      <c r="E176" s="11"/>
      <c r="F176" s="4"/>
      <c r="G176" s="11"/>
      <c r="H176" s="4"/>
      <c r="I176" s="11"/>
      <c r="J176" s="4"/>
      <c r="K176" s="11"/>
      <c r="L176" s="4"/>
      <c r="M176" s="21" t="s">
        <v>646</v>
      </c>
      <c r="N176" s="21" t="s">
        <v>646</v>
      </c>
      <c r="O176" s="21" t="s">
        <v>646</v>
      </c>
      <c r="P176" s="21" t="s">
        <v>646</v>
      </c>
      <c r="AU176" s="15"/>
      <c r="AV176" s="20">
        <v>0</v>
      </c>
    </row>
    <row r="177" spans="1:51" ht="28.5" customHeight="1" x14ac:dyDescent="0.3">
      <c r="A177" s="21" t="s">
        <v>646</v>
      </c>
      <c r="B177" s="21" t="s">
        <v>646</v>
      </c>
      <c r="C177" s="21" t="s">
        <v>646</v>
      </c>
      <c r="D177" s="4">
        <v>0</v>
      </c>
      <c r="E177" s="11"/>
      <c r="F177" s="4"/>
      <c r="G177" s="11"/>
      <c r="H177" s="4"/>
      <c r="I177" s="11"/>
      <c r="J177" s="4"/>
      <c r="K177" s="11"/>
      <c r="L177" s="4"/>
      <c r="M177" s="21" t="s">
        <v>646</v>
      </c>
      <c r="N177" s="21" t="s">
        <v>646</v>
      </c>
      <c r="O177" s="21" t="s">
        <v>646</v>
      </c>
      <c r="P177" s="21" t="s">
        <v>646</v>
      </c>
      <c r="AU177" s="15"/>
      <c r="AV177" s="20">
        <v>0</v>
      </c>
    </row>
    <row r="178" spans="1:51" ht="28.5" customHeight="1" x14ac:dyDescent="0.3">
      <c r="A178" s="21" t="s">
        <v>646</v>
      </c>
      <c r="B178" s="21" t="s">
        <v>646</v>
      </c>
      <c r="C178" s="21" t="s">
        <v>646</v>
      </c>
      <c r="D178" s="4">
        <v>0</v>
      </c>
      <c r="E178" s="11"/>
      <c r="F178" s="4"/>
      <c r="G178" s="11"/>
      <c r="H178" s="4"/>
      <c r="I178" s="11"/>
      <c r="J178" s="4"/>
      <c r="K178" s="11"/>
      <c r="L178" s="4"/>
      <c r="M178" s="21" t="s">
        <v>646</v>
      </c>
      <c r="N178" s="21" t="s">
        <v>646</v>
      </c>
      <c r="O178" s="21" t="s">
        <v>646</v>
      </c>
      <c r="P178" s="21" t="s">
        <v>646</v>
      </c>
      <c r="AU178" s="15"/>
      <c r="AV178" s="20">
        <v>0</v>
      </c>
    </row>
    <row r="179" spans="1:51" ht="28.5" customHeight="1" x14ac:dyDescent="0.3">
      <c r="A179" s="21" t="s">
        <v>646</v>
      </c>
      <c r="B179" s="21" t="s">
        <v>646</v>
      </c>
      <c r="C179" s="21" t="s">
        <v>646</v>
      </c>
      <c r="D179" s="4">
        <v>0</v>
      </c>
      <c r="E179" s="11"/>
      <c r="F179" s="4"/>
      <c r="G179" s="11"/>
      <c r="H179" s="4"/>
      <c r="I179" s="11"/>
      <c r="J179" s="4"/>
      <c r="K179" s="11"/>
      <c r="L179" s="4"/>
      <c r="M179" s="21" t="s">
        <v>646</v>
      </c>
      <c r="N179" s="21" t="s">
        <v>646</v>
      </c>
      <c r="O179" s="21" t="s">
        <v>646</v>
      </c>
      <c r="P179" s="21" t="s">
        <v>646</v>
      </c>
      <c r="AU179" s="15"/>
      <c r="AV179" s="20">
        <v>0</v>
      </c>
    </row>
    <row r="180" spans="1:51" ht="28.5" customHeight="1" x14ac:dyDescent="0.3">
      <c r="A180" s="21" t="s">
        <v>401</v>
      </c>
      <c r="B180" s="21" t="s">
        <v>646</v>
      </c>
      <c r="C180" s="21" t="s">
        <v>646</v>
      </c>
      <c r="D180" s="21" t="s">
        <v>646</v>
      </c>
      <c r="E180" s="2"/>
      <c r="F180" s="4"/>
      <c r="G180" s="4"/>
      <c r="H180" s="4"/>
      <c r="I180" s="4"/>
      <c r="J180" s="4"/>
      <c r="K180" s="10"/>
      <c r="L180" s="4"/>
      <c r="M180" s="21"/>
    </row>
    <row r="181" spans="1:51" ht="28.5" customHeight="1" x14ac:dyDescent="0.3">
      <c r="A181" s="7" t="s">
        <v>555</v>
      </c>
      <c r="B181" s="21"/>
      <c r="C181" s="21"/>
      <c r="D181" s="21" t="s">
        <v>646</v>
      </c>
      <c r="E181" s="21"/>
      <c r="F181" s="21"/>
      <c r="G181" s="21"/>
      <c r="H181" s="21"/>
      <c r="I181" s="21"/>
      <c r="J181" s="21"/>
      <c r="K181" s="21"/>
      <c r="L181" s="21"/>
      <c r="M181" s="21" t="s">
        <v>646</v>
      </c>
      <c r="N181" s="25" t="s">
        <v>646</v>
      </c>
      <c r="Q181" s="15" t="s">
        <v>129</v>
      </c>
      <c r="R181" s="20">
        <v>1062255</v>
      </c>
      <c r="S181" s="20">
        <v>0</v>
      </c>
      <c r="AH181" s="15"/>
    </row>
    <row r="182" spans="1:51" ht="28.5" customHeight="1" x14ac:dyDescent="0.3">
      <c r="A182" s="21" t="s">
        <v>52</v>
      </c>
      <c r="B182" s="17" t="s">
        <v>446</v>
      </c>
      <c r="C182" s="21" t="s">
        <v>128</v>
      </c>
      <c r="D182" s="24">
        <v>52.8</v>
      </c>
      <c r="E182" s="11"/>
      <c r="F182" s="4"/>
      <c r="G182" s="11"/>
      <c r="H182" s="4"/>
      <c r="I182" s="11"/>
      <c r="J182" s="4"/>
      <c r="K182" s="11"/>
      <c r="L182" s="4"/>
      <c r="M182" s="17" t="s">
        <v>646</v>
      </c>
      <c r="N182" s="3" t="str">
        <f>HYPERLINK("#단가대비표!B42", "5213160120156350")</f>
        <v>5213160120156350</v>
      </c>
      <c r="O182" s="15" t="s">
        <v>646</v>
      </c>
      <c r="P182" s="15" t="s">
        <v>646</v>
      </c>
      <c r="Q182" s="15" t="s">
        <v>129</v>
      </c>
      <c r="R182" s="20">
        <v>1062255</v>
      </c>
      <c r="S182" s="20">
        <v>10</v>
      </c>
      <c r="T182" s="15" t="s">
        <v>546</v>
      </c>
      <c r="U182" s="15" t="s">
        <v>546</v>
      </c>
      <c r="V182" s="15" t="s">
        <v>657</v>
      </c>
      <c r="W182" s="15" t="s">
        <v>646</v>
      </c>
      <c r="X182" s="20">
        <v>0</v>
      </c>
      <c r="Y182" s="20">
        <v>0</v>
      </c>
      <c r="Z182" s="20">
        <v>0</v>
      </c>
      <c r="AA182" s="20">
        <v>0</v>
      </c>
      <c r="AB182" s="20">
        <v>0</v>
      </c>
      <c r="AC182" s="20">
        <v>0</v>
      </c>
      <c r="AD182" s="20">
        <v>0</v>
      </c>
      <c r="AE182" s="20">
        <v>0</v>
      </c>
      <c r="AF182" s="20">
        <v>0</v>
      </c>
      <c r="AG182" s="20">
        <v>0</v>
      </c>
      <c r="AH182" s="20">
        <v>0</v>
      </c>
      <c r="AI182" s="20">
        <v>30</v>
      </c>
      <c r="AJ182" s="20">
        <v>0</v>
      </c>
      <c r="AK182" s="20">
        <v>0</v>
      </c>
      <c r="AL182" s="20">
        <v>0</v>
      </c>
      <c r="AM182" s="20">
        <v>0</v>
      </c>
      <c r="AN182" s="20">
        <v>0</v>
      </c>
      <c r="AO182" s="20">
        <v>0</v>
      </c>
      <c r="AP182" s="20">
        <v>0</v>
      </c>
      <c r="AQ182" s="20">
        <v>0</v>
      </c>
      <c r="AR182" s="20">
        <v>0</v>
      </c>
      <c r="AS182" s="20">
        <v>0</v>
      </c>
      <c r="AT182" s="20">
        <v>0</v>
      </c>
      <c r="AU182" s="15" t="s">
        <v>646</v>
      </c>
      <c r="AV182" s="20">
        <v>100</v>
      </c>
      <c r="AX182" s="1" t="s">
        <v>646</v>
      </c>
      <c r="AY182" s="14" t="str">
        <f>HYPERLINK("#단가대비표!B42", "▶바로가기")</f>
        <v>▶바로가기</v>
      </c>
    </row>
    <row r="183" spans="1:51" ht="28.5" customHeight="1" x14ac:dyDescent="0.3">
      <c r="A183" s="21" t="s">
        <v>652</v>
      </c>
      <c r="B183" s="17" t="s">
        <v>494</v>
      </c>
      <c r="C183" s="21" t="s">
        <v>738</v>
      </c>
      <c r="D183" s="24">
        <v>1</v>
      </c>
      <c r="E183" s="11"/>
      <c r="F183" s="4"/>
      <c r="G183" s="11"/>
      <c r="H183" s="4"/>
      <c r="I183" s="11"/>
      <c r="J183" s="4"/>
      <c r="K183" s="11"/>
      <c r="L183" s="4"/>
      <c r="M183" s="17"/>
      <c r="N183" s="3" t="str">
        <f>HYPERLINK("#단가대비표!B50", "ZA00000000000007")</f>
        <v>ZA00000000000007</v>
      </c>
      <c r="O183" s="15" t="s">
        <v>646</v>
      </c>
      <c r="P183" s="15" t="s">
        <v>646</v>
      </c>
      <c r="Q183" s="15" t="s">
        <v>129</v>
      </c>
      <c r="R183" s="20">
        <v>1062255</v>
      </c>
      <c r="S183" s="20">
        <v>20</v>
      </c>
      <c r="T183" s="15" t="s">
        <v>546</v>
      </c>
      <c r="U183" s="15" t="s">
        <v>546</v>
      </c>
      <c r="V183" s="15" t="s">
        <v>657</v>
      </c>
      <c r="W183" s="15" t="s">
        <v>646</v>
      </c>
      <c r="X183" s="20">
        <v>0</v>
      </c>
      <c r="Y183" s="20">
        <v>0</v>
      </c>
      <c r="Z183" s="20">
        <v>0</v>
      </c>
      <c r="AA183" s="20">
        <v>0</v>
      </c>
      <c r="AB183" s="20">
        <v>0</v>
      </c>
      <c r="AC183" s="20">
        <v>0</v>
      </c>
      <c r="AD183" s="20">
        <v>0</v>
      </c>
      <c r="AE183" s="20">
        <v>0</v>
      </c>
      <c r="AF183" s="20">
        <v>0</v>
      </c>
      <c r="AG183" s="20">
        <v>0</v>
      </c>
      <c r="AH183" s="20">
        <v>0</v>
      </c>
      <c r="AI183" s="20">
        <v>30</v>
      </c>
      <c r="AJ183" s="20">
        <v>0</v>
      </c>
      <c r="AK183" s="20">
        <v>0</v>
      </c>
      <c r="AL183" s="20">
        <v>0</v>
      </c>
      <c r="AM183" s="20">
        <v>0</v>
      </c>
      <c r="AN183" s="20">
        <v>0</v>
      </c>
      <c r="AO183" s="20">
        <v>0</v>
      </c>
      <c r="AP183" s="20">
        <v>0</v>
      </c>
      <c r="AQ183" s="20">
        <v>0</v>
      </c>
      <c r="AR183" s="20">
        <v>0</v>
      </c>
      <c r="AS183" s="20">
        <v>0</v>
      </c>
      <c r="AT183" s="20">
        <v>0</v>
      </c>
      <c r="AU183" s="15"/>
      <c r="AV183" s="20">
        <v>100</v>
      </c>
      <c r="AX183" s="1" t="s">
        <v>646</v>
      </c>
      <c r="AY183" s="14" t="str">
        <f>HYPERLINK("#단가대비표!B50", "▶바로가기")</f>
        <v>▶바로가기</v>
      </c>
    </row>
    <row r="184" spans="1:51" ht="28.5" customHeight="1" x14ac:dyDescent="0.3">
      <c r="A184" s="21" t="s">
        <v>646</v>
      </c>
      <c r="B184" s="21" t="s">
        <v>646</v>
      </c>
      <c r="C184" s="21" t="s">
        <v>646</v>
      </c>
      <c r="D184" s="4">
        <v>0</v>
      </c>
      <c r="E184" s="11"/>
      <c r="F184" s="4"/>
      <c r="G184" s="11"/>
      <c r="H184" s="4"/>
      <c r="I184" s="11"/>
      <c r="J184" s="4"/>
      <c r="K184" s="11"/>
      <c r="L184" s="4"/>
      <c r="M184" s="21" t="s">
        <v>646</v>
      </c>
      <c r="N184" s="21" t="s">
        <v>646</v>
      </c>
      <c r="O184" s="21" t="s">
        <v>646</v>
      </c>
      <c r="P184" s="21" t="s">
        <v>646</v>
      </c>
      <c r="AU184" s="15"/>
      <c r="AV184" s="20">
        <v>0</v>
      </c>
    </row>
    <row r="185" spans="1:51" ht="28.5" customHeight="1" x14ac:dyDescent="0.3">
      <c r="A185" s="21" t="s">
        <v>646</v>
      </c>
      <c r="B185" s="21" t="s">
        <v>646</v>
      </c>
      <c r="C185" s="21" t="s">
        <v>646</v>
      </c>
      <c r="D185" s="4">
        <v>0</v>
      </c>
      <c r="E185" s="11"/>
      <c r="F185" s="4"/>
      <c r="G185" s="11"/>
      <c r="H185" s="4"/>
      <c r="I185" s="11"/>
      <c r="J185" s="4"/>
      <c r="K185" s="11"/>
      <c r="L185" s="4"/>
      <c r="M185" s="21" t="s">
        <v>646</v>
      </c>
      <c r="N185" s="21" t="s">
        <v>646</v>
      </c>
      <c r="O185" s="21" t="s">
        <v>646</v>
      </c>
      <c r="P185" s="21" t="s">
        <v>646</v>
      </c>
      <c r="AU185" s="15"/>
      <c r="AV185" s="20">
        <v>0</v>
      </c>
    </row>
    <row r="186" spans="1:51" ht="28.5" customHeight="1" x14ac:dyDescent="0.3">
      <c r="A186" s="21" t="s">
        <v>646</v>
      </c>
      <c r="B186" s="21" t="s">
        <v>646</v>
      </c>
      <c r="C186" s="21" t="s">
        <v>646</v>
      </c>
      <c r="D186" s="4">
        <v>0</v>
      </c>
      <c r="E186" s="11"/>
      <c r="F186" s="4"/>
      <c r="G186" s="11"/>
      <c r="H186" s="4"/>
      <c r="I186" s="11"/>
      <c r="J186" s="4"/>
      <c r="K186" s="11"/>
      <c r="L186" s="4"/>
      <c r="M186" s="21" t="s">
        <v>646</v>
      </c>
      <c r="N186" s="21" t="s">
        <v>646</v>
      </c>
      <c r="O186" s="21" t="s">
        <v>646</v>
      </c>
      <c r="P186" s="21" t="s">
        <v>646</v>
      </c>
      <c r="AU186" s="15"/>
      <c r="AV186" s="20">
        <v>0</v>
      </c>
    </row>
    <row r="187" spans="1:51" ht="28.5" customHeight="1" x14ac:dyDescent="0.3">
      <c r="A187" s="21" t="s">
        <v>646</v>
      </c>
      <c r="B187" s="21" t="s">
        <v>646</v>
      </c>
      <c r="C187" s="21" t="s">
        <v>646</v>
      </c>
      <c r="D187" s="4">
        <v>0</v>
      </c>
      <c r="E187" s="11"/>
      <c r="F187" s="4"/>
      <c r="G187" s="11"/>
      <c r="H187" s="4"/>
      <c r="I187" s="11"/>
      <c r="J187" s="4"/>
      <c r="K187" s="11"/>
      <c r="L187" s="4"/>
      <c r="M187" s="21" t="s">
        <v>646</v>
      </c>
      <c r="N187" s="21" t="s">
        <v>646</v>
      </c>
      <c r="O187" s="21" t="s">
        <v>646</v>
      </c>
      <c r="P187" s="21" t="s">
        <v>646</v>
      </c>
      <c r="AU187" s="15"/>
      <c r="AV187" s="20">
        <v>0</v>
      </c>
    </row>
    <row r="188" spans="1:51" ht="28.5" customHeight="1" x14ac:dyDescent="0.3">
      <c r="A188" s="21" t="s">
        <v>646</v>
      </c>
      <c r="B188" s="21" t="s">
        <v>646</v>
      </c>
      <c r="C188" s="21" t="s">
        <v>646</v>
      </c>
      <c r="D188" s="4">
        <v>0</v>
      </c>
      <c r="E188" s="11"/>
      <c r="F188" s="4"/>
      <c r="G188" s="11"/>
      <c r="H188" s="4"/>
      <c r="I188" s="11"/>
      <c r="J188" s="4"/>
      <c r="K188" s="11"/>
      <c r="L188" s="4"/>
      <c r="M188" s="21" t="s">
        <v>646</v>
      </c>
      <c r="N188" s="21" t="s">
        <v>646</v>
      </c>
      <c r="O188" s="21" t="s">
        <v>646</v>
      </c>
      <c r="P188" s="21" t="s">
        <v>646</v>
      </c>
      <c r="AU188" s="15"/>
      <c r="AV188" s="20">
        <v>0</v>
      </c>
    </row>
    <row r="189" spans="1:51" ht="28.5" customHeight="1" x14ac:dyDescent="0.3">
      <c r="A189" s="21" t="s">
        <v>646</v>
      </c>
      <c r="B189" s="21" t="s">
        <v>646</v>
      </c>
      <c r="C189" s="21" t="s">
        <v>646</v>
      </c>
      <c r="D189" s="4">
        <v>0</v>
      </c>
      <c r="E189" s="11"/>
      <c r="F189" s="4"/>
      <c r="G189" s="11"/>
      <c r="H189" s="4"/>
      <c r="I189" s="11"/>
      <c r="J189" s="4"/>
      <c r="K189" s="11"/>
      <c r="L189" s="4"/>
      <c r="M189" s="21" t="s">
        <v>646</v>
      </c>
      <c r="N189" s="21" t="s">
        <v>646</v>
      </c>
      <c r="O189" s="21" t="s">
        <v>646</v>
      </c>
      <c r="P189" s="21" t="s">
        <v>646</v>
      </c>
      <c r="AU189" s="15"/>
      <c r="AV189" s="20">
        <v>0</v>
      </c>
    </row>
    <row r="190" spans="1:51" ht="28.5" customHeight="1" x14ac:dyDescent="0.3">
      <c r="A190" s="21" t="s">
        <v>646</v>
      </c>
      <c r="B190" s="21" t="s">
        <v>646</v>
      </c>
      <c r="C190" s="21" t="s">
        <v>646</v>
      </c>
      <c r="D190" s="4">
        <v>0</v>
      </c>
      <c r="E190" s="11"/>
      <c r="F190" s="4"/>
      <c r="G190" s="11"/>
      <c r="H190" s="4"/>
      <c r="I190" s="11"/>
      <c r="J190" s="4"/>
      <c r="K190" s="11"/>
      <c r="L190" s="4"/>
      <c r="M190" s="21" t="s">
        <v>646</v>
      </c>
      <c r="N190" s="21" t="s">
        <v>646</v>
      </c>
      <c r="O190" s="21" t="s">
        <v>646</v>
      </c>
      <c r="P190" s="21" t="s">
        <v>646</v>
      </c>
      <c r="AU190" s="15"/>
      <c r="AV190" s="20">
        <v>0</v>
      </c>
    </row>
    <row r="191" spans="1:51" ht="28.5" customHeight="1" x14ac:dyDescent="0.3">
      <c r="A191" s="21" t="s">
        <v>646</v>
      </c>
      <c r="B191" s="21" t="s">
        <v>646</v>
      </c>
      <c r="C191" s="21" t="s">
        <v>646</v>
      </c>
      <c r="D191" s="4">
        <v>0</v>
      </c>
      <c r="E191" s="11"/>
      <c r="F191" s="4"/>
      <c r="G191" s="11"/>
      <c r="H191" s="4"/>
      <c r="I191" s="11"/>
      <c r="J191" s="4"/>
      <c r="K191" s="11"/>
      <c r="L191" s="4"/>
      <c r="M191" s="21" t="s">
        <v>646</v>
      </c>
      <c r="N191" s="21" t="s">
        <v>646</v>
      </c>
      <c r="O191" s="21" t="s">
        <v>646</v>
      </c>
      <c r="P191" s="21" t="s">
        <v>646</v>
      </c>
      <c r="AU191" s="15"/>
      <c r="AV191" s="20">
        <v>0</v>
      </c>
    </row>
    <row r="192" spans="1:51" ht="28.5" customHeight="1" x14ac:dyDescent="0.3">
      <c r="A192" s="21" t="s">
        <v>646</v>
      </c>
      <c r="B192" s="21" t="s">
        <v>646</v>
      </c>
      <c r="C192" s="21" t="s">
        <v>646</v>
      </c>
      <c r="D192" s="4">
        <v>0</v>
      </c>
      <c r="E192" s="11"/>
      <c r="F192" s="4"/>
      <c r="G192" s="11"/>
      <c r="H192" s="4"/>
      <c r="I192" s="11"/>
      <c r="J192" s="4"/>
      <c r="K192" s="11"/>
      <c r="L192" s="4"/>
      <c r="M192" s="21" t="s">
        <v>646</v>
      </c>
      <c r="N192" s="21" t="s">
        <v>646</v>
      </c>
      <c r="O192" s="21" t="s">
        <v>646</v>
      </c>
      <c r="P192" s="21" t="s">
        <v>646</v>
      </c>
      <c r="AU192" s="15"/>
      <c r="AV192" s="20">
        <v>0</v>
      </c>
    </row>
    <row r="193" spans="1:48" ht="28.5" customHeight="1" x14ac:dyDescent="0.3">
      <c r="A193" s="21" t="s">
        <v>646</v>
      </c>
      <c r="B193" s="21" t="s">
        <v>646</v>
      </c>
      <c r="C193" s="21" t="s">
        <v>646</v>
      </c>
      <c r="D193" s="4">
        <v>0</v>
      </c>
      <c r="E193" s="11"/>
      <c r="F193" s="4"/>
      <c r="G193" s="11"/>
      <c r="H193" s="4"/>
      <c r="I193" s="11"/>
      <c r="J193" s="4"/>
      <c r="K193" s="11"/>
      <c r="L193" s="4"/>
      <c r="M193" s="21" t="s">
        <v>646</v>
      </c>
      <c r="N193" s="21" t="s">
        <v>646</v>
      </c>
      <c r="O193" s="21" t="s">
        <v>646</v>
      </c>
      <c r="P193" s="21" t="s">
        <v>646</v>
      </c>
      <c r="AU193" s="15"/>
      <c r="AV193" s="20">
        <v>0</v>
      </c>
    </row>
    <row r="194" spans="1:48" ht="28.5" customHeight="1" x14ac:dyDescent="0.3">
      <c r="A194" s="21" t="s">
        <v>646</v>
      </c>
      <c r="B194" s="21" t="s">
        <v>646</v>
      </c>
      <c r="C194" s="21" t="s">
        <v>646</v>
      </c>
      <c r="D194" s="4">
        <v>0</v>
      </c>
      <c r="E194" s="11"/>
      <c r="F194" s="4"/>
      <c r="G194" s="11"/>
      <c r="H194" s="4"/>
      <c r="I194" s="11"/>
      <c r="J194" s="4"/>
      <c r="K194" s="11"/>
      <c r="L194" s="4"/>
      <c r="M194" s="21" t="s">
        <v>646</v>
      </c>
      <c r="N194" s="21" t="s">
        <v>646</v>
      </c>
      <c r="O194" s="21" t="s">
        <v>646</v>
      </c>
      <c r="P194" s="21" t="s">
        <v>646</v>
      </c>
      <c r="AU194" s="15"/>
      <c r="AV194" s="20">
        <v>0</v>
      </c>
    </row>
    <row r="195" spans="1:48" ht="28.5" customHeight="1" x14ac:dyDescent="0.3">
      <c r="A195" s="21" t="s">
        <v>646</v>
      </c>
      <c r="B195" s="21" t="s">
        <v>646</v>
      </c>
      <c r="C195" s="21" t="s">
        <v>646</v>
      </c>
      <c r="D195" s="4">
        <v>0</v>
      </c>
      <c r="E195" s="11"/>
      <c r="F195" s="4"/>
      <c r="G195" s="11"/>
      <c r="H195" s="4"/>
      <c r="I195" s="11"/>
      <c r="J195" s="4"/>
      <c r="K195" s="11"/>
      <c r="L195" s="4"/>
      <c r="M195" s="21" t="s">
        <v>646</v>
      </c>
      <c r="N195" s="21" t="s">
        <v>646</v>
      </c>
      <c r="O195" s="21" t="s">
        <v>646</v>
      </c>
      <c r="P195" s="21" t="s">
        <v>646</v>
      </c>
      <c r="AU195" s="15"/>
      <c r="AV195" s="20">
        <v>0</v>
      </c>
    </row>
    <row r="196" spans="1:48" ht="28.5" customHeight="1" x14ac:dyDescent="0.3">
      <c r="A196" s="21" t="s">
        <v>646</v>
      </c>
      <c r="B196" s="21" t="s">
        <v>646</v>
      </c>
      <c r="C196" s="21" t="s">
        <v>646</v>
      </c>
      <c r="D196" s="4">
        <v>0</v>
      </c>
      <c r="E196" s="11"/>
      <c r="F196" s="4"/>
      <c r="G196" s="11"/>
      <c r="H196" s="4"/>
      <c r="I196" s="11"/>
      <c r="J196" s="4"/>
      <c r="K196" s="11"/>
      <c r="L196" s="4"/>
      <c r="M196" s="21" t="s">
        <v>646</v>
      </c>
      <c r="N196" s="21" t="s">
        <v>646</v>
      </c>
      <c r="O196" s="21" t="s">
        <v>646</v>
      </c>
      <c r="P196" s="21" t="s">
        <v>646</v>
      </c>
      <c r="AU196" s="15"/>
      <c r="AV196" s="20">
        <v>0</v>
      </c>
    </row>
    <row r="197" spans="1:48" ht="28.5" customHeight="1" x14ac:dyDescent="0.3">
      <c r="A197" s="21" t="s">
        <v>646</v>
      </c>
      <c r="B197" s="21" t="s">
        <v>646</v>
      </c>
      <c r="C197" s="21" t="s">
        <v>646</v>
      </c>
      <c r="D197" s="4">
        <v>0</v>
      </c>
      <c r="E197" s="11"/>
      <c r="F197" s="4"/>
      <c r="G197" s="11"/>
      <c r="H197" s="4"/>
      <c r="I197" s="11"/>
      <c r="J197" s="4"/>
      <c r="K197" s="11"/>
      <c r="L197" s="4"/>
      <c r="M197" s="21" t="s">
        <v>646</v>
      </c>
      <c r="N197" s="21" t="s">
        <v>646</v>
      </c>
      <c r="O197" s="21" t="s">
        <v>646</v>
      </c>
      <c r="P197" s="21" t="s">
        <v>646</v>
      </c>
      <c r="AU197" s="15"/>
      <c r="AV197" s="20">
        <v>0</v>
      </c>
    </row>
    <row r="198" spans="1:48" ht="28.5" customHeight="1" x14ac:dyDescent="0.3">
      <c r="A198" s="21" t="s">
        <v>646</v>
      </c>
      <c r="B198" s="21" t="s">
        <v>646</v>
      </c>
      <c r="C198" s="21" t="s">
        <v>646</v>
      </c>
      <c r="D198" s="4">
        <v>0</v>
      </c>
      <c r="E198" s="11"/>
      <c r="F198" s="4"/>
      <c r="G198" s="11"/>
      <c r="H198" s="4"/>
      <c r="I198" s="11"/>
      <c r="J198" s="4"/>
      <c r="K198" s="11"/>
      <c r="L198" s="4"/>
      <c r="M198" s="21" t="s">
        <v>646</v>
      </c>
      <c r="N198" s="21" t="s">
        <v>646</v>
      </c>
      <c r="O198" s="21" t="s">
        <v>646</v>
      </c>
      <c r="P198" s="21" t="s">
        <v>646</v>
      </c>
      <c r="AU198" s="15"/>
      <c r="AV198" s="20">
        <v>0</v>
      </c>
    </row>
    <row r="199" spans="1:48" ht="28.5" customHeight="1" x14ac:dyDescent="0.3">
      <c r="A199" s="21" t="s">
        <v>646</v>
      </c>
      <c r="B199" s="21" t="s">
        <v>646</v>
      </c>
      <c r="C199" s="21" t="s">
        <v>646</v>
      </c>
      <c r="D199" s="4">
        <v>0</v>
      </c>
      <c r="E199" s="11"/>
      <c r="F199" s="4"/>
      <c r="G199" s="11"/>
      <c r="H199" s="4"/>
      <c r="I199" s="11"/>
      <c r="J199" s="4"/>
      <c r="K199" s="11"/>
      <c r="L199" s="4"/>
      <c r="M199" s="21" t="s">
        <v>646</v>
      </c>
      <c r="N199" s="21" t="s">
        <v>646</v>
      </c>
      <c r="O199" s="21" t="s">
        <v>646</v>
      </c>
      <c r="P199" s="21" t="s">
        <v>646</v>
      </c>
      <c r="AU199" s="15"/>
      <c r="AV199" s="20">
        <v>0</v>
      </c>
    </row>
    <row r="200" spans="1:48" ht="28.5" customHeight="1" x14ac:dyDescent="0.3">
      <c r="A200" s="21" t="s">
        <v>646</v>
      </c>
      <c r="B200" s="21" t="s">
        <v>646</v>
      </c>
      <c r="C200" s="21" t="s">
        <v>646</v>
      </c>
      <c r="D200" s="4">
        <v>0</v>
      </c>
      <c r="E200" s="11"/>
      <c r="F200" s="4"/>
      <c r="G200" s="11"/>
      <c r="H200" s="4"/>
      <c r="I200" s="11"/>
      <c r="J200" s="4"/>
      <c r="K200" s="11"/>
      <c r="L200" s="4"/>
      <c r="M200" s="21" t="s">
        <v>646</v>
      </c>
      <c r="N200" s="21" t="s">
        <v>646</v>
      </c>
      <c r="O200" s="21" t="s">
        <v>646</v>
      </c>
      <c r="P200" s="21" t="s">
        <v>646</v>
      </c>
      <c r="AU200" s="15"/>
      <c r="AV200" s="20">
        <v>0</v>
      </c>
    </row>
    <row r="201" spans="1:48" ht="28.5" customHeight="1" x14ac:dyDescent="0.3">
      <c r="A201" s="21" t="s">
        <v>646</v>
      </c>
      <c r="B201" s="21" t="s">
        <v>646</v>
      </c>
      <c r="C201" s="21" t="s">
        <v>646</v>
      </c>
      <c r="D201" s="4">
        <v>0</v>
      </c>
      <c r="E201" s="11"/>
      <c r="F201" s="4"/>
      <c r="G201" s="11"/>
      <c r="H201" s="4"/>
      <c r="I201" s="11"/>
      <c r="J201" s="4"/>
      <c r="K201" s="11"/>
      <c r="L201" s="4"/>
      <c r="M201" s="21" t="s">
        <v>646</v>
      </c>
      <c r="N201" s="21" t="s">
        <v>646</v>
      </c>
      <c r="O201" s="21" t="s">
        <v>646</v>
      </c>
      <c r="P201" s="21" t="s">
        <v>646</v>
      </c>
      <c r="AU201" s="15"/>
      <c r="AV201" s="20">
        <v>0</v>
      </c>
    </row>
    <row r="202" spans="1:48" ht="28.5" customHeight="1" x14ac:dyDescent="0.3">
      <c r="A202" s="21" t="s">
        <v>401</v>
      </c>
      <c r="B202" s="21" t="s">
        <v>646</v>
      </c>
      <c r="C202" s="21" t="s">
        <v>646</v>
      </c>
      <c r="D202" s="21" t="s">
        <v>646</v>
      </c>
      <c r="E202" s="2"/>
      <c r="F202" s="4"/>
      <c r="G202" s="4"/>
      <c r="H202" s="4"/>
      <c r="I202" s="4"/>
      <c r="J202" s="4"/>
      <c r="K202" s="10"/>
      <c r="L202" s="4"/>
      <c r="M202" s="21"/>
    </row>
  </sheetData>
  <mergeCells count="46">
    <mergeCell ref="AR3:AR4"/>
    <mergeCell ref="AS3:AS4"/>
    <mergeCell ref="AT3:AT4"/>
    <mergeCell ref="AU3:AU4"/>
    <mergeCell ref="AV3:AV4"/>
    <mergeCell ref="AM3:AM4"/>
    <mergeCell ref="AN3:AN4"/>
    <mergeCell ref="AO3:AO4"/>
    <mergeCell ref="AP3:AP4"/>
    <mergeCell ref="AQ3:AQ4"/>
    <mergeCell ref="AH3:AH4"/>
    <mergeCell ref="AI3:AI4"/>
    <mergeCell ref="AJ3:AJ4"/>
    <mergeCell ref="AK3:AK4"/>
    <mergeCell ref="AL3:AL4"/>
    <mergeCell ref="AC3:AC4"/>
    <mergeCell ref="AD3:AD4"/>
    <mergeCell ref="AE3:AE4"/>
    <mergeCell ref="AF3:AF4"/>
    <mergeCell ref="AG3:AG4"/>
    <mergeCell ref="X3:X4"/>
    <mergeCell ref="Y3:Y4"/>
    <mergeCell ref="Z3:Z4"/>
    <mergeCell ref="AA3:AA4"/>
    <mergeCell ref="AB3:AB4"/>
    <mergeCell ref="S3:S4"/>
    <mergeCell ref="T3:T4"/>
    <mergeCell ref="U3:U4"/>
    <mergeCell ref="V3:V4"/>
    <mergeCell ref="W3:W4"/>
    <mergeCell ref="A1:AV1"/>
    <mergeCell ref="A2:AV2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P3:P4"/>
    <mergeCell ref="Q3:Q4"/>
    <mergeCell ref="R3:R4"/>
  </mergeCells>
  <phoneticPr fontId="15" type="noConversion"/>
  <pageMargins left="0.78740157480314954" right="0" top="0.39370078740157477" bottom="0.23622047244094488" header="0" footer="0"/>
  <pageSetup paperSize="9" scale="62" fitToHeight="0" orientation="landscape" r:id="rId1"/>
  <rowBreaks count="9" manualBreakCount="9">
    <brk id="26" man="1"/>
    <brk id="48" man="1"/>
    <brk id="70" man="1"/>
    <brk id="92" man="1"/>
    <brk id="114" man="1"/>
    <brk id="136" man="1"/>
    <brk id="158" man="1"/>
    <brk id="180" man="1"/>
    <brk id="20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  <pageSetUpPr fitToPage="1"/>
  </sheetPr>
  <dimension ref="A1:P49"/>
  <sheetViews>
    <sheetView view="pageBreakPreview" topLeftCell="B1" zoomScale="60" zoomScaleNormal="100" workbookViewId="0">
      <selection activeCell="A3" sqref="A3:A4"/>
    </sheetView>
  </sheetViews>
  <sheetFormatPr defaultColWidth="9.125" defaultRowHeight="16.5" x14ac:dyDescent="0.3"/>
  <cols>
    <col min="1" max="1" width="9.125" hidden="1"/>
    <col min="2" max="3" width="30.625" customWidth="1"/>
    <col min="4" max="4" width="4.625" customWidth="1"/>
    <col min="5" max="8" width="13.625" customWidth="1"/>
    <col min="9" max="9" width="12.625" customWidth="1"/>
    <col min="10" max="13" width="9.125" hidden="1"/>
    <col min="15" max="15" width="3.75" customWidth="1"/>
    <col min="16" max="16" width="12.625" customWidth="1"/>
  </cols>
  <sheetData>
    <row r="1" spans="1:16" ht="30" customHeight="1" x14ac:dyDescent="0.3">
      <c r="A1" s="96" t="s">
        <v>267</v>
      </c>
      <c r="B1" s="96"/>
      <c r="C1" s="96"/>
      <c r="D1" s="96"/>
      <c r="E1" s="96"/>
      <c r="F1" s="96"/>
      <c r="G1" s="96"/>
      <c r="H1" s="96"/>
      <c r="I1" s="96"/>
    </row>
    <row r="2" spans="1:16" ht="30" customHeight="1" x14ac:dyDescent="0.3">
      <c r="A2" s="97" t="str">
        <f>"[" &amp; 설계서용지!F7 &amp; "]"</f>
        <v>[공용 스마트 교육공간 인프라 구축 건축공사]</v>
      </c>
      <c r="B2" s="97"/>
      <c r="C2" s="97"/>
      <c r="D2" s="97"/>
      <c r="E2" s="97"/>
      <c r="F2" s="97"/>
      <c r="G2" s="97"/>
      <c r="H2" s="97"/>
      <c r="I2" s="97"/>
    </row>
    <row r="3" spans="1:16" ht="30" customHeight="1" x14ac:dyDescent="0.3">
      <c r="A3" s="18" t="s">
        <v>105</v>
      </c>
      <c r="B3" s="18" t="s">
        <v>121</v>
      </c>
      <c r="C3" s="18" t="s">
        <v>397</v>
      </c>
      <c r="D3" s="18" t="s">
        <v>59</v>
      </c>
      <c r="E3" s="18" t="s">
        <v>423</v>
      </c>
      <c r="F3" s="18" t="s">
        <v>179</v>
      </c>
      <c r="G3" s="18" t="s">
        <v>265</v>
      </c>
      <c r="H3" s="18" t="s">
        <v>565</v>
      </c>
      <c r="I3" s="18" t="s">
        <v>562</v>
      </c>
      <c r="J3" s="22" t="s">
        <v>244</v>
      </c>
      <c r="K3" s="5" t="s">
        <v>682</v>
      </c>
      <c r="L3" s="5" t="s">
        <v>83</v>
      </c>
      <c r="M3" s="5" t="s">
        <v>14</v>
      </c>
    </row>
    <row r="4" spans="1:16" ht="30" customHeight="1" x14ac:dyDescent="0.3">
      <c r="A4" s="21" t="s">
        <v>271</v>
      </c>
      <c r="B4" s="21" t="s">
        <v>22</v>
      </c>
      <c r="C4" s="17" t="s">
        <v>46</v>
      </c>
      <c r="D4" s="21" t="s">
        <v>128</v>
      </c>
      <c r="E4" s="11">
        <f>TRUNC(일위대가!F7, 0)</f>
        <v>0</v>
      </c>
      <c r="F4" s="11">
        <f>TRUNC(일위대가!H7, 0)</f>
        <v>8051</v>
      </c>
      <c r="G4" s="11">
        <f>TRUNC(일위대가!J7, 0)</f>
        <v>0</v>
      </c>
      <c r="H4" s="11">
        <f t="shared" ref="H4:H49" si="0">TRUNC(E4+F4+G4, 0)</f>
        <v>8051</v>
      </c>
      <c r="I4" s="17" t="s">
        <v>242</v>
      </c>
      <c r="J4" s="21" t="s">
        <v>646</v>
      </c>
      <c r="K4" s="21"/>
      <c r="L4" s="21" t="s">
        <v>242</v>
      </c>
      <c r="M4" s="21" t="s">
        <v>646</v>
      </c>
      <c r="O4" s="15" t="s">
        <v>646</v>
      </c>
      <c r="P4" s="14" t="str">
        <f>HYPERLINK("#일위대가!A5", "▶바로가기")</f>
        <v>▶바로가기</v>
      </c>
    </row>
    <row r="5" spans="1:16" ht="30" customHeight="1" x14ac:dyDescent="0.3">
      <c r="A5" s="21" t="s">
        <v>238</v>
      </c>
      <c r="B5" s="21" t="s">
        <v>689</v>
      </c>
      <c r="C5" s="17" t="s">
        <v>771</v>
      </c>
      <c r="D5" s="21" t="s">
        <v>128</v>
      </c>
      <c r="E5" s="11">
        <f>TRUNC(일위대가!F11, 0)</f>
        <v>0</v>
      </c>
      <c r="F5" s="11">
        <f>TRUNC(일위대가!H11, 0)</f>
        <v>7743</v>
      </c>
      <c r="G5" s="11">
        <f>TRUNC(일위대가!J11, 0)</f>
        <v>0</v>
      </c>
      <c r="H5" s="11">
        <f t="shared" si="0"/>
        <v>7743</v>
      </c>
      <c r="I5" s="17" t="s">
        <v>43</v>
      </c>
      <c r="J5" s="21" t="s">
        <v>646</v>
      </c>
      <c r="K5" s="21"/>
      <c r="L5" s="21" t="s">
        <v>43</v>
      </c>
      <c r="M5" s="21" t="s">
        <v>646</v>
      </c>
      <c r="O5" s="15" t="s">
        <v>646</v>
      </c>
      <c r="P5" s="14" t="str">
        <f>HYPERLINK("#일위대가!A9", "▶바로가기")</f>
        <v>▶바로가기</v>
      </c>
    </row>
    <row r="6" spans="1:16" ht="30" customHeight="1" x14ac:dyDescent="0.3">
      <c r="A6" s="21" t="s">
        <v>71</v>
      </c>
      <c r="B6" s="21" t="s">
        <v>135</v>
      </c>
      <c r="C6" s="17" t="s">
        <v>785</v>
      </c>
      <c r="D6" s="21" t="s">
        <v>128</v>
      </c>
      <c r="E6" s="11">
        <f>TRUNC(일위대가!F17, 0)</f>
        <v>3290</v>
      </c>
      <c r="F6" s="11">
        <f>TRUNC(일위대가!H17, 0)</f>
        <v>5850</v>
      </c>
      <c r="G6" s="11">
        <f>TRUNC(일위대가!J17, 0)</f>
        <v>0</v>
      </c>
      <c r="H6" s="11">
        <f t="shared" si="0"/>
        <v>9140</v>
      </c>
      <c r="I6" s="17" t="s">
        <v>478</v>
      </c>
      <c r="J6" s="21" t="s">
        <v>646</v>
      </c>
      <c r="K6" s="21"/>
      <c r="L6" s="21" t="s">
        <v>478</v>
      </c>
      <c r="M6" s="21" t="s">
        <v>646</v>
      </c>
      <c r="O6" s="15" t="s">
        <v>646</v>
      </c>
      <c r="P6" s="14" t="str">
        <f>HYPERLINK("#일위대가!A13", "▶바로가기")</f>
        <v>▶바로가기</v>
      </c>
    </row>
    <row r="7" spans="1:16" ht="30" customHeight="1" x14ac:dyDescent="0.3">
      <c r="A7" s="21" t="s">
        <v>728</v>
      </c>
      <c r="B7" s="21" t="s">
        <v>542</v>
      </c>
      <c r="C7" s="17" t="s">
        <v>298</v>
      </c>
      <c r="D7" s="21" t="s">
        <v>128</v>
      </c>
      <c r="E7" s="11">
        <f>TRUNC(일위대가!F21, 0)</f>
        <v>0</v>
      </c>
      <c r="F7" s="11">
        <f>TRUNC(일위대가!H21, 0)</f>
        <v>8603</v>
      </c>
      <c r="G7" s="11">
        <f>TRUNC(일위대가!J21, 0)</f>
        <v>0</v>
      </c>
      <c r="H7" s="11">
        <f t="shared" si="0"/>
        <v>8603</v>
      </c>
      <c r="I7" s="17" t="s">
        <v>277</v>
      </c>
      <c r="J7" s="21" t="s">
        <v>646</v>
      </c>
      <c r="K7" s="21"/>
      <c r="L7" s="21" t="s">
        <v>277</v>
      </c>
      <c r="M7" s="21" t="s">
        <v>646</v>
      </c>
      <c r="O7" s="15" t="s">
        <v>646</v>
      </c>
      <c r="P7" s="14" t="str">
        <f>HYPERLINK("#일위대가!A19", "▶바로가기")</f>
        <v>▶바로가기</v>
      </c>
    </row>
    <row r="8" spans="1:16" ht="30" customHeight="1" x14ac:dyDescent="0.3">
      <c r="A8" s="21" t="s">
        <v>256</v>
      </c>
      <c r="B8" s="21" t="s">
        <v>638</v>
      </c>
      <c r="C8" s="17" t="s">
        <v>646</v>
      </c>
      <c r="D8" s="21" t="s">
        <v>128</v>
      </c>
      <c r="E8" s="11">
        <f>TRUNC(일위대가!F27, 0)</f>
        <v>650</v>
      </c>
      <c r="F8" s="11">
        <f>TRUNC(일위대가!H27, 0)</f>
        <v>13002</v>
      </c>
      <c r="G8" s="11">
        <f>TRUNC(일위대가!J27, 0)</f>
        <v>0</v>
      </c>
      <c r="H8" s="11">
        <f t="shared" si="0"/>
        <v>13652</v>
      </c>
      <c r="I8" s="17" t="s">
        <v>207</v>
      </c>
      <c r="J8" s="21" t="s">
        <v>646</v>
      </c>
      <c r="K8" s="21"/>
      <c r="L8" s="21" t="s">
        <v>207</v>
      </c>
      <c r="M8" s="21" t="s">
        <v>646</v>
      </c>
      <c r="O8" s="15" t="s">
        <v>646</v>
      </c>
      <c r="P8" s="14" t="str">
        <f>HYPERLINK("#일위대가!A23", "▶바로가기")</f>
        <v>▶바로가기</v>
      </c>
    </row>
    <row r="9" spans="1:16" ht="30" customHeight="1" x14ac:dyDescent="0.3">
      <c r="A9" s="21" t="s">
        <v>627</v>
      </c>
      <c r="B9" s="21" t="s">
        <v>596</v>
      </c>
      <c r="C9" s="17" t="s">
        <v>282</v>
      </c>
      <c r="D9" s="21" t="s">
        <v>128</v>
      </c>
      <c r="E9" s="11">
        <f>TRUNC(일위대가!F33, 0)</f>
        <v>0</v>
      </c>
      <c r="F9" s="11">
        <f>TRUNC(일위대가!H33, 0)</f>
        <v>7234</v>
      </c>
      <c r="G9" s="11">
        <f>TRUNC(일위대가!J33, 0)</f>
        <v>144</v>
      </c>
      <c r="H9" s="11">
        <f t="shared" si="0"/>
        <v>7378</v>
      </c>
      <c r="I9" s="17" t="s">
        <v>553</v>
      </c>
      <c r="J9" s="21" t="s">
        <v>646</v>
      </c>
      <c r="K9" s="21"/>
      <c r="L9" s="21" t="s">
        <v>553</v>
      </c>
      <c r="M9" s="21" t="s">
        <v>646</v>
      </c>
      <c r="O9" s="15" t="s">
        <v>646</v>
      </c>
      <c r="P9" s="14" t="str">
        <f>HYPERLINK("#일위대가!A29", "▶바로가기")</f>
        <v>▶바로가기</v>
      </c>
    </row>
    <row r="10" spans="1:16" ht="30" customHeight="1" x14ac:dyDescent="0.3">
      <c r="A10" s="21" t="s">
        <v>21</v>
      </c>
      <c r="B10" s="21" t="s">
        <v>11</v>
      </c>
      <c r="C10" s="17" t="s">
        <v>646</v>
      </c>
      <c r="D10" s="21" t="s">
        <v>128</v>
      </c>
      <c r="E10" s="11">
        <f>TRUNC(일위대가!F39, 0)</f>
        <v>240</v>
      </c>
      <c r="F10" s="11">
        <f>TRUNC(일위대가!H39, 0)</f>
        <v>4800</v>
      </c>
      <c r="G10" s="11">
        <f>TRUNC(일위대가!J39, 0)</f>
        <v>0</v>
      </c>
      <c r="H10" s="11">
        <f t="shared" si="0"/>
        <v>5040</v>
      </c>
      <c r="I10" s="17" t="s">
        <v>56</v>
      </c>
      <c r="J10" s="21" t="s">
        <v>646</v>
      </c>
      <c r="K10" s="21"/>
      <c r="L10" s="21" t="s">
        <v>56</v>
      </c>
      <c r="M10" s="21" t="s">
        <v>646</v>
      </c>
      <c r="O10" s="15" t="s">
        <v>646</v>
      </c>
      <c r="P10" s="14" t="str">
        <f>HYPERLINK("#일위대가!A35", "▶바로가기")</f>
        <v>▶바로가기</v>
      </c>
    </row>
    <row r="11" spans="1:16" ht="30" customHeight="1" x14ac:dyDescent="0.3">
      <c r="A11" s="21" t="s">
        <v>365</v>
      </c>
      <c r="B11" s="21" t="s">
        <v>168</v>
      </c>
      <c r="C11" s="17" t="s">
        <v>203</v>
      </c>
      <c r="D11" s="21" t="s">
        <v>229</v>
      </c>
      <c r="E11" s="11">
        <f>TRUNC(일위대가!F45, 0)</f>
        <v>0</v>
      </c>
      <c r="F11" s="11">
        <f>TRUNC(일위대가!H45, 0)</f>
        <v>25345</v>
      </c>
      <c r="G11" s="11">
        <f>TRUNC(일위대가!J45, 0)</f>
        <v>1267</v>
      </c>
      <c r="H11" s="11">
        <f t="shared" si="0"/>
        <v>26612</v>
      </c>
      <c r="I11" s="17" t="s">
        <v>408</v>
      </c>
      <c r="J11" s="21" t="s">
        <v>646</v>
      </c>
      <c r="K11" s="21"/>
      <c r="L11" s="21" t="s">
        <v>408</v>
      </c>
      <c r="M11" s="21" t="s">
        <v>646</v>
      </c>
      <c r="O11" s="15" t="s">
        <v>646</v>
      </c>
      <c r="P11" s="14" t="str">
        <f>HYPERLINK("#일위대가!A41", "▶바로가기")</f>
        <v>▶바로가기</v>
      </c>
    </row>
    <row r="12" spans="1:16" ht="30" customHeight="1" x14ac:dyDescent="0.3">
      <c r="A12" s="21" t="s">
        <v>18</v>
      </c>
      <c r="B12" s="21" t="s">
        <v>508</v>
      </c>
      <c r="C12" s="17" t="s">
        <v>577</v>
      </c>
      <c r="D12" s="21" t="s">
        <v>128</v>
      </c>
      <c r="E12" s="11">
        <f>TRUNC(일위대가!F51, 0)</f>
        <v>972</v>
      </c>
      <c r="F12" s="11">
        <f>TRUNC(일위대가!H51, 0)</f>
        <v>19441</v>
      </c>
      <c r="G12" s="11">
        <f>TRUNC(일위대가!J51, 0)</f>
        <v>0</v>
      </c>
      <c r="H12" s="11">
        <f t="shared" si="0"/>
        <v>20413</v>
      </c>
      <c r="I12" s="17" t="s">
        <v>66</v>
      </c>
      <c r="J12" s="21" t="s">
        <v>646</v>
      </c>
      <c r="K12" s="21"/>
      <c r="L12" s="21" t="s">
        <v>66</v>
      </c>
      <c r="M12" s="21" t="s">
        <v>646</v>
      </c>
      <c r="O12" s="15" t="s">
        <v>646</v>
      </c>
      <c r="P12" s="14" t="str">
        <f>HYPERLINK("#일위대가!A47", "▶바로가기")</f>
        <v>▶바로가기</v>
      </c>
    </row>
    <row r="13" spans="1:16" ht="30" customHeight="1" x14ac:dyDescent="0.3">
      <c r="A13" s="21" t="s">
        <v>252</v>
      </c>
      <c r="B13" s="21" t="s">
        <v>529</v>
      </c>
      <c r="C13" s="17" t="s">
        <v>646</v>
      </c>
      <c r="D13" s="21" t="s">
        <v>128</v>
      </c>
      <c r="E13" s="11">
        <f>TRUNC(일위대가!F56, 0)</f>
        <v>688</v>
      </c>
      <c r="F13" s="11">
        <f>TRUNC(일위대가!H56, 0)</f>
        <v>13765</v>
      </c>
      <c r="G13" s="11">
        <f>TRUNC(일위대가!J56, 0)</f>
        <v>0</v>
      </c>
      <c r="H13" s="11">
        <f t="shared" si="0"/>
        <v>14453</v>
      </c>
      <c r="I13" s="17" t="s">
        <v>602</v>
      </c>
      <c r="J13" s="21" t="s">
        <v>646</v>
      </c>
      <c r="K13" s="21"/>
      <c r="L13" s="21" t="s">
        <v>602</v>
      </c>
      <c r="M13" s="21" t="s">
        <v>646</v>
      </c>
      <c r="O13" s="15" t="s">
        <v>646</v>
      </c>
      <c r="P13" s="14" t="str">
        <f>HYPERLINK("#일위대가!A53", "▶바로가기")</f>
        <v>▶바로가기</v>
      </c>
    </row>
    <row r="14" spans="1:16" ht="30" customHeight="1" x14ac:dyDescent="0.3">
      <c r="A14" s="21" t="s">
        <v>548</v>
      </c>
      <c r="B14" s="21" t="s">
        <v>153</v>
      </c>
      <c r="C14" s="17" t="s">
        <v>483</v>
      </c>
      <c r="D14" s="21" t="s">
        <v>128</v>
      </c>
      <c r="E14" s="11">
        <f>TRUNC(일위대가!F61, 0)</f>
        <v>0</v>
      </c>
      <c r="F14" s="11">
        <f>TRUNC(일위대가!H61, 0)</f>
        <v>4886</v>
      </c>
      <c r="G14" s="11">
        <f>TRUNC(일위대가!J61, 0)</f>
        <v>0</v>
      </c>
      <c r="H14" s="11">
        <f t="shared" si="0"/>
        <v>4886</v>
      </c>
      <c r="I14" s="17" t="s">
        <v>376</v>
      </c>
      <c r="J14" s="21" t="s">
        <v>646</v>
      </c>
      <c r="K14" s="21"/>
      <c r="L14" s="21" t="s">
        <v>376</v>
      </c>
      <c r="M14" s="21" t="s">
        <v>646</v>
      </c>
      <c r="O14" s="15" t="s">
        <v>646</v>
      </c>
      <c r="P14" s="14" t="str">
        <f>HYPERLINK("#일위대가!A58", "▶바로가기")</f>
        <v>▶바로가기</v>
      </c>
    </row>
    <row r="15" spans="1:16" ht="30" customHeight="1" x14ac:dyDescent="0.3">
      <c r="A15" s="21" t="s">
        <v>511</v>
      </c>
      <c r="B15" s="21" t="s">
        <v>148</v>
      </c>
      <c r="C15" s="17" t="s">
        <v>646</v>
      </c>
      <c r="D15" s="21" t="s">
        <v>229</v>
      </c>
      <c r="E15" s="11">
        <f>TRUNC(일위대가!F65, 0)</f>
        <v>0</v>
      </c>
      <c r="F15" s="11">
        <f>TRUNC(일위대가!H65, 0)</f>
        <v>3441</v>
      </c>
      <c r="G15" s="11">
        <f>TRUNC(일위대가!J65, 0)</f>
        <v>0</v>
      </c>
      <c r="H15" s="11">
        <f t="shared" si="0"/>
        <v>3441</v>
      </c>
      <c r="I15" s="17" t="s">
        <v>602</v>
      </c>
      <c r="J15" s="21" t="s">
        <v>646</v>
      </c>
      <c r="K15" s="21"/>
      <c r="L15" s="21" t="s">
        <v>602</v>
      </c>
      <c r="M15" s="21" t="s">
        <v>646</v>
      </c>
      <c r="O15" s="15" t="s">
        <v>646</v>
      </c>
      <c r="P15" s="14" t="str">
        <f>HYPERLINK("#일위대가!A63", "▶바로가기")</f>
        <v>▶바로가기</v>
      </c>
    </row>
    <row r="16" spans="1:16" ht="30" customHeight="1" x14ac:dyDescent="0.3">
      <c r="A16" s="21" t="s">
        <v>328</v>
      </c>
      <c r="B16" s="21" t="s">
        <v>390</v>
      </c>
      <c r="C16" s="17" t="s">
        <v>521</v>
      </c>
      <c r="D16" s="21" t="s">
        <v>128</v>
      </c>
      <c r="E16" s="11">
        <f>TRUNC(일위대가!F71, 0)</f>
        <v>2948</v>
      </c>
      <c r="F16" s="11">
        <f>TRUNC(일위대가!H71, 0)</f>
        <v>9733</v>
      </c>
      <c r="G16" s="11">
        <f>TRUNC(일위대가!J71, 0)</f>
        <v>0</v>
      </c>
      <c r="H16" s="11">
        <f t="shared" si="0"/>
        <v>12681</v>
      </c>
      <c r="I16" s="17" t="s">
        <v>353</v>
      </c>
      <c r="J16" s="21" t="s">
        <v>646</v>
      </c>
      <c r="K16" s="21"/>
      <c r="L16" s="21" t="s">
        <v>353</v>
      </c>
      <c r="M16" s="21" t="s">
        <v>646</v>
      </c>
      <c r="O16" s="15" t="s">
        <v>646</v>
      </c>
      <c r="P16" s="14" t="str">
        <f>HYPERLINK("#일위대가!A67", "▶바로가기")</f>
        <v>▶바로가기</v>
      </c>
    </row>
    <row r="17" spans="1:16" ht="30" customHeight="1" x14ac:dyDescent="0.3">
      <c r="A17" s="21" t="s">
        <v>474</v>
      </c>
      <c r="B17" s="21" t="s">
        <v>287</v>
      </c>
      <c r="C17" s="17" t="s">
        <v>173</v>
      </c>
      <c r="D17" s="21" t="s">
        <v>128</v>
      </c>
      <c r="E17" s="11">
        <f>TRUNC(일위대가!F77, 0)</f>
        <v>4999</v>
      </c>
      <c r="F17" s="11">
        <f>TRUNC(일위대가!H77, 0)</f>
        <v>18183</v>
      </c>
      <c r="G17" s="11">
        <f>TRUNC(일위대가!J77, 0)</f>
        <v>0</v>
      </c>
      <c r="H17" s="11">
        <f t="shared" si="0"/>
        <v>23182</v>
      </c>
      <c r="I17" s="17" t="s">
        <v>39</v>
      </c>
      <c r="J17" s="21" t="s">
        <v>646</v>
      </c>
      <c r="K17" s="21"/>
      <c r="L17" s="21" t="s">
        <v>39</v>
      </c>
      <c r="M17" s="21" t="s">
        <v>646</v>
      </c>
      <c r="O17" s="15" t="s">
        <v>646</v>
      </c>
      <c r="P17" s="14" t="str">
        <f>HYPERLINK("#일위대가!A73", "▶바로가기")</f>
        <v>▶바로가기</v>
      </c>
    </row>
    <row r="18" spans="1:16" ht="30" customHeight="1" x14ac:dyDescent="0.3">
      <c r="A18" s="21" t="s">
        <v>73</v>
      </c>
      <c r="B18" s="21" t="s">
        <v>263</v>
      </c>
      <c r="C18" s="17" t="s">
        <v>530</v>
      </c>
      <c r="D18" s="21" t="s">
        <v>128</v>
      </c>
      <c r="E18" s="11">
        <f>TRUNC(일위대가!F83, 0)</f>
        <v>6261</v>
      </c>
      <c r="F18" s="11">
        <f>TRUNC(일위대가!H83, 0)</f>
        <v>18183</v>
      </c>
      <c r="G18" s="11">
        <f>TRUNC(일위대가!J83, 0)</f>
        <v>0</v>
      </c>
      <c r="H18" s="11">
        <f t="shared" si="0"/>
        <v>24444</v>
      </c>
      <c r="I18" s="17" t="s">
        <v>39</v>
      </c>
      <c r="J18" s="21" t="s">
        <v>646</v>
      </c>
      <c r="K18" s="21"/>
      <c r="L18" s="21" t="s">
        <v>39</v>
      </c>
      <c r="M18" s="21" t="s">
        <v>646</v>
      </c>
      <c r="O18" s="15" t="s">
        <v>646</v>
      </c>
      <c r="P18" s="14" t="str">
        <f>HYPERLINK("#일위대가!A79", "▶바로가기")</f>
        <v>▶바로가기</v>
      </c>
    </row>
    <row r="19" spans="1:16" ht="30" customHeight="1" x14ac:dyDescent="0.3">
      <c r="A19" s="21" t="s">
        <v>500</v>
      </c>
      <c r="B19" s="21" t="s">
        <v>518</v>
      </c>
      <c r="C19" s="17" t="s">
        <v>454</v>
      </c>
      <c r="D19" s="21" t="s">
        <v>128</v>
      </c>
      <c r="E19" s="11">
        <f>TRUNC(일위대가!F89, 0)</f>
        <v>1950</v>
      </c>
      <c r="F19" s="11">
        <f>TRUNC(일위대가!H89, 0)</f>
        <v>12159</v>
      </c>
      <c r="G19" s="11">
        <f>TRUNC(일위대가!J89, 0)</f>
        <v>0</v>
      </c>
      <c r="H19" s="11">
        <f t="shared" si="0"/>
        <v>14109</v>
      </c>
      <c r="I19" s="17" t="s">
        <v>355</v>
      </c>
      <c r="J19" s="21" t="s">
        <v>646</v>
      </c>
      <c r="K19" s="21"/>
      <c r="L19" s="21" t="s">
        <v>355</v>
      </c>
      <c r="M19" s="21" t="s">
        <v>646</v>
      </c>
      <c r="O19" s="15" t="s">
        <v>646</v>
      </c>
      <c r="P19" s="14" t="str">
        <f>HYPERLINK("#일위대가!A85", "▶바로가기")</f>
        <v>▶바로가기</v>
      </c>
    </row>
    <row r="20" spans="1:16" ht="30" customHeight="1" x14ac:dyDescent="0.3">
      <c r="A20" s="21" t="s">
        <v>663</v>
      </c>
      <c r="B20" s="21" t="s">
        <v>42</v>
      </c>
      <c r="C20" s="17" t="s">
        <v>363</v>
      </c>
      <c r="D20" s="21" t="s">
        <v>128</v>
      </c>
      <c r="E20" s="11">
        <f>TRUNC(일위대가!F95, 0)</f>
        <v>1270</v>
      </c>
      <c r="F20" s="11">
        <f>TRUNC(일위대가!H95, 0)</f>
        <v>22316</v>
      </c>
      <c r="G20" s="11">
        <f>TRUNC(일위대가!J95, 0)</f>
        <v>0</v>
      </c>
      <c r="H20" s="11">
        <f t="shared" si="0"/>
        <v>23586</v>
      </c>
      <c r="I20" s="17"/>
      <c r="J20" s="21"/>
      <c r="K20" s="21"/>
      <c r="L20" s="21"/>
      <c r="M20" s="21"/>
      <c r="O20" s="15" t="s">
        <v>646</v>
      </c>
      <c r="P20" s="14" t="str">
        <f>HYPERLINK("#일위대가!A91", "▶바로가기")</f>
        <v>▶바로가기</v>
      </c>
    </row>
    <row r="21" spans="1:16" ht="30" customHeight="1" x14ac:dyDescent="0.3">
      <c r="A21" s="21" t="s">
        <v>633</v>
      </c>
      <c r="B21" s="21" t="s">
        <v>718</v>
      </c>
      <c r="C21" s="17" t="s">
        <v>273</v>
      </c>
      <c r="D21" s="21" t="s">
        <v>128</v>
      </c>
      <c r="E21" s="11">
        <f>TRUNC(일위대가!F111, 0)</f>
        <v>12714</v>
      </c>
      <c r="F21" s="11">
        <f>TRUNC(일위대가!H111, 0)</f>
        <v>14549</v>
      </c>
      <c r="G21" s="11">
        <f>TRUNC(일위대가!J111, 0)</f>
        <v>0</v>
      </c>
      <c r="H21" s="11">
        <f t="shared" si="0"/>
        <v>27263</v>
      </c>
      <c r="I21" s="17" t="s">
        <v>301</v>
      </c>
      <c r="J21" s="21"/>
      <c r="K21" s="21"/>
      <c r="L21" s="21" t="s">
        <v>301</v>
      </c>
      <c r="M21" s="21" t="s">
        <v>646</v>
      </c>
      <c r="O21" s="15" t="s">
        <v>646</v>
      </c>
      <c r="P21" s="14" t="str">
        <f>HYPERLINK("#일위대가!A97", "▶바로가기")</f>
        <v>▶바로가기</v>
      </c>
    </row>
    <row r="22" spans="1:16" ht="30" customHeight="1" x14ac:dyDescent="0.3">
      <c r="A22" s="21" t="s">
        <v>722</v>
      </c>
      <c r="B22" s="21" t="s">
        <v>648</v>
      </c>
      <c r="C22" s="17" t="s">
        <v>34</v>
      </c>
      <c r="D22" s="21" t="s">
        <v>128</v>
      </c>
      <c r="E22" s="11">
        <f>TRUNC(일위대가!F117, 0)</f>
        <v>0</v>
      </c>
      <c r="F22" s="11">
        <f>TRUNC(일위대가!H117, 0)</f>
        <v>25874</v>
      </c>
      <c r="G22" s="11">
        <f>TRUNC(일위대가!J117, 0)</f>
        <v>0</v>
      </c>
      <c r="H22" s="11">
        <f t="shared" si="0"/>
        <v>25874</v>
      </c>
      <c r="I22" s="17" t="s">
        <v>431</v>
      </c>
      <c r="J22" s="21" t="s">
        <v>646</v>
      </c>
      <c r="K22" s="21"/>
      <c r="L22" s="21" t="s">
        <v>431</v>
      </c>
      <c r="M22" s="21" t="s">
        <v>646</v>
      </c>
      <c r="O22" s="15" t="s">
        <v>646</v>
      </c>
      <c r="P22" s="14" t="str">
        <f>HYPERLINK("#일위대가!A113", "▶바로가기")</f>
        <v>▶바로가기</v>
      </c>
    </row>
    <row r="23" spans="1:16" ht="30" customHeight="1" x14ac:dyDescent="0.3">
      <c r="A23" s="21" t="s">
        <v>610</v>
      </c>
      <c r="B23" s="21" t="s">
        <v>187</v>
      </c>
      <c r="C23" s="17" t="s">
        <v>235</v>
      </c>
      <c r="D23" s="21" t="s">
        <v>128</v>
      </c>
      <c r="E23" s="11">
        <f>TRUNC(일위대가!F122, 0)</f>
        <v>20819</v>
      </c>
      <c r="F23" s="11">
        <f>TRUNC(일위대가!H122, 0)</f>
        <v>17145</v>
      </c>
      <c r="G23" s="11">
        <f>TRUNC(일위대가!J122, 0)</f>
        <v>0</v>
      </c>
      <c r="H23" s="11">
        <f t="shared" si="0"/>
        <v>37964</v>
      </c>
      <c r="I23" s="17" t="s">
        <v>19</v>
      </c>
      <c r="J23" s="21" t="s">
        <v>646</v>
      </c>
      <c r="K23" s="21"/>
      <c r="L23" s="21" t="s">
        <v>19</v>
      </c>
      <c r="M23" s="21" t="s">
        <v>646</v>
      </c>
      <c r="O23" s="15" t="s">
        <v>646</v>
      </c>
      <c r="P23" s="14" t="str">
        <f>HYPERLINK("#일위대가!A119", "▶바로가기")</f>
        <v>▶바로가기</v>
      </c>
    </row>
    <row r="24" spans="1:16" ht="30" customHeight="1" x14ac:dyDescent="0.3">
      <c r="A24" s="21" t="s">
        <v>667</v>
      </c>
      <c r="B24" s="21" t="s">
        <v>299</v>
      </c>
      <c r="C24" s="17" t="s">
        <v>623</v>
      </c>
      <c r="D24" s="21" t="s">
        <v>128</v>
      </c>
      <c r="E24" s="11">
        <f>TRUNC(일위대가!F127, 0)</f>
        <v>0</v>
      </c>
      <c r="F24" s="11">
        <f>TRUNC(일위대가!H127, 0)</f>
        <v>23280</v>
      </c>
      <c r="G24" s="11">
        <f>TRUNC(일위대가!J127, 0)</f>
        <v>0</v>
      </c>
      <c r="H24" s="11">
        <f t="shared" si="0"/>
        <v>23280</v>
      </c>
      <c r="I24" s="17" t="s">
        <v>300</v>
      </c>
      <c r="J24" s="21"/>
      <c r="K24" s="21"/>
      <c r="L24" s="21" t="s">
        <v>300</v>
      </c>
      <c r="M24" s="21"/>
      <c r="O24" s="15" t="s">
        <v>646</v>
      </c>
      <c r="P24" s="14" t="str">
        <f>HYPERLINK("#일위대가!A124", "▶바로가기")</f>
        <v>▶바로가기</v>
      </c>
    </row>
    <row r="25" spans="1:16" ht="30" customHeight="1" x14ac:dyDescent="0.3">
      <c r="A25" s="21" t="s">
        <v>322</v>
      </c>
      <c r="B25" s="21" t="s">
        <v>604</v>
      </c>
      <c r="C25" s="17" t="s">
        <v>258</v>
      </c>
      <c r="D25" s="21" t="s">
        <v>229</v>
      </c>
      <c r="E25" s="11">
        <f>TRUNC(일위대가!F133, 0)</f>
        <v>12576</v>
      </c>
      <c r="F25" s="11">
        <f>TRUNC(일위대가!H133, 0)</f>
        <v>46686</v>
      </c>
      <c r="G25" s="11">
        <f>TRUNC(일위대가!J133, 0)</f>
        <v>0</v>
      </c>
      <c r="H25" s="11">
        <f t="shared" si="0"/>
        <v>59262</v>
      </c>
      <c r="I25" s="17" t="s">
        <v>646</v>
      </c>
      <c r="J25" s="21"/>
      <c r="K25" s="21"/>
      <c r="L25" s="21" t="s">
        <v>646</v>
      </c>
      <c r="M25" s="21" t="s">
        <v>646</v>
      </c>
      <c r="O25" s="15" t="s">
        <v>646</v>
      </c>
      <c r="P25" s="14" t="str">
        <f>HYPERLINK("#일위대가!A129", "▶바로가기")</f>
        <v>▶바로가기</v>
      </c>
    </row>
    <row r="26" spans="1:16" ht="30" customHeight="1" x14ac:dyDescent="0.3">
      <c r="A26" s="21" t="s">
        <v>558</v>
      </c>
      <c r="B26" s="21" t="s">
        <v>27</v>
      </c>
      <c r="C26" s="17" t="s">
        <v>534</v>
      </c>
      <c r="D26" s="21" t="s">
        <v>128</v>
      </c>
      <c r="E26" s="11">
        <f>TRUNC(일위대가!F139, 0)</f>
        <v>194</v>
      </c>
      <c r="F26" s="11">
        <f>TRUNC(일위대가!H139, 0)</f>
        <v>9733</v>
      </c>
      <c r="G26" s="11">
        <f>TRUNC(일위대가!J139, 0)</f>
        <v>0</v>
      </c>
      <c r="H26" s="11">
        <f t="shared" si="0"/>
        <v>9927</v>
      </c>
      <c r="I26" s="17" t="s">
        <v>353</v>
      </c>
      <c r="J26" s="21"/>
      <c r="K26" s="21"/>
      <c r="L26" s="21" t="s">
        <v>353</v>
      </c>
      <c r="M26" s="21"/>
      <c r="O26" s="15" t="s">
        <v>646</v>
      </c>
      <c r="P26" s="14" t="str">
        <f>HYPERLINK("#일위대가!A135", "▶바로가기")</f>
        <v>▶바로가기</v>
      </c>
    </row>
    <row r="27" spans="1:16" ht="30" customHeight="1" x14ac:dyDescent="0.3">
      <c r="A27" s="21" t="s">
        <v>407</v>
      </c>
      <c r="B27" s="21" t="s">
        <v>287</v>
      </c>
      <c r="C27" s="17" t="s">
        <v>206</v>
      </c>
      <c r="D27" s="21" t="s">
        <v>128</v>
      </c>
      <c r="E27" s="11">
        <f>TRUNC(일위대가!F145, 0)</f>
        <v>363</v>
      </c>
      <c r="F27" s="11">
        <f>TRUNC(일위대가!H145, 0)</f>
        <v>18183</v>
      </c>
      <c r="G27" s="11">
        <f>TRUNC(일위대가!J145, 0)</f>
        <v>0</v>
      </c>
      <c r="H27" s="11">
        <f t="shared" si="0"/>
        <v>18546</v>
      </c>
      <c r="I27" s="17" t="s">
        <v>39</v>
      </c>
      <c r="J27" s="21"/>
      <c r="K27" s="21"/>
      <c r="L27" s="21" t="s">
        <v>39</v>
      </c>
      <c r="M27" s="21"/>
      <c r="O27" s="15" t="s">
        <v>646</v>
      </c>
      <c r="P27" s="14" t="str">
        <f>HYPERLINK("#일위대가!A141", "▶바로가기")</f>
        <v>▶바로가기</v>
      </c>
    </row>
    <row r="28" spans="1:16" ht="30" customHeight="1" x14ac:dyDescent="0.3">
      <c r="A28" s="21" t="s">
        <v>202</v>
      </c>
      <c r="B28" s="21" t="s">
        <v>250</v>
      </c>
      <c r="C28" s="17" t="s">
        <v>191</v>
      </c>
      <c r="D28" s="21" t="s">
        <v>128</v>
      </c>
      <c r="E28" s="11">
        <f>TRUNC(일위대가!F151, 0)</f>
        <v>869</v>
      </c>
      <c r="F28" s="11">
        <f>TRUNC(일위대가!H151, 0)</f>
        <v>17145</v>
      </c>
      <c r="G28" s="11">
        <f>TRUNC(일위대가!J151, 0)</f>
        <v>0</v>
      </c>
      <c r="H28" s="11">
        <f t="shared" si="0"/>
        <v>18014</v>
      </c>
      <c r="I28" s="17" t="s">
        <v>19</v>
      </c>
      <c r="J28" s="21"/>
      <c r="K28" s="21"/>
      <c r="L28" s="21" t="s">
        <v>19</v>
      </c>
      <c r="M28" s="21"/>
      <c r="O28" s="15" t="s">
        <v>646</v>
      </c>
      <c r="P28" s="14" t="str">
        <f>HYPERLINK("#일위대가!A147", "▶바로가기")</f>
        <v>▶바로가기</v>
      </c>
    </row>
    <row r="29" spans="1:16" ht="30" customHeight="1" x14ac:dyDescent="0.3">
      <c r="A29" s="21" t="s">
        <v>366</v>
      </c>
      <c r="B29" s="21" t="s">
        <v>215</v>
      </c>
      <c r="C29" s="17" t="s">
        <v>585</v>
      </c>
      <c r="D29" s="21" t="s">
        <v>691</v>
      </c>
      <c r="E29" s="11">
        <f>TRUNC(일위대가!F156, 0)</f>
        <v>92</v>
      </c>
      <c r="F29" s="11">
        <f>TRUNC(일위대가!H156, 0)</f>
        <v>2311</v>
      </c>
      <c r="G29" s="11">
        <f>TRUNC(일위대가!J156, 0)</f>
        <v>0</v>
      </c>
      <c r="H29" s="11">
        <f t="shared" si="0"/>
        <v>2403</v>
      </c>
      <c r="I29" s="17" t="s">
        <v>119</v>
      </c>
      <c r="J29" s="21"/>
      <c r="K29" s="21"/>
      <c r="L29" s="21" t="s">
        <v>119</v>
      </c>
      <c r="M29" s="21"/>
      <c r="O29" s="15" t="s">
        <v>646</v>
      </c>
      <c r="P29" s="14" t="str">
        <f>HYPERLINK("#일위대가!A153", "▶바로가기")</f>
        <v>▶바로가기</v>
      </c>
    </row>
    <row r="30" spans="1:16" ht="30" customHeight="1" x14ac:dyDescent="0.3">
      <c r="A30" s="21" t="s">
        <v>594</v>
      </c>
      <c r="B30" s="21" t="s">
        <v>226</v>
      </c>
      <c r="C30" s="17" t="s">
        <v>481</v>
      </c>
      <c r="D30" s="21" t="s">
        <v>128</v>
      </c>
      <c r="E30" s="11">
        <f>TRUNC(일위대가!F162, 0)</f>
        <v>684</v>
      </c>
      <c r="F30" s="11">
        <f>TRUNC(일위대가!H162, 0)</f>
        <v>11402</v>
      </c>
      <c r="G30" s="11">
        <f>TRUNC(일위대가!J162, 0)</f>
        <v>0</v>
      </c>
      <c r="H30" s="11">
        <f t="shared" si="0"/>
        <v>12086</v>
      </c>
      <c r="I30" s="17" t="s">
        <v>301</v>
      </c>
      <c r="J30" s="21"/>
      <c r="K30" s="21"/>
      <c r="L30" s="21" t="s">
        <v>301</v>
      </c>
      <c r="M30" s="21"/>
      <c r="O30" s="15" t="s">
        <v>646</v>
      </c>
      <c r="P30" s="14" t="str">
        <f>HYPERLINK("#일위대가!A158", "▶바로가기")</f>
        <v>▶바로가기</v>
      </c>
    </row>
    <row r="31" spans="1:16" ht="30" customHeight="1" x14ac:dyDescent="0.3">
      <c r="A31" s="21" t="s">
        <v>145</v>
      </c>
      <c r="B31" s="21" t="s">
        <v>448</v>
      </c>
      <c r="C31" s="17" t="s">
        <v>400</v>
      </c>
      <c r="D31" s="21" t="s">
        <v>127</v>
      </c>
      <c r="E31" s="11">
        <f>TRUNC(일위대가!F171, 0)</f>
        <v>426279</v>
      </c>
      <c r="F31" s="11">
        <f>TRUNC(일위대가!H171, 0)</f>
        <v>5328496</v>
      </c>
      <c r="G31" s="11">
        <f>TRUNC(일위대가!J171, 0)</f>
        <v>0</v>
      </c>
      <c r="H31" s="11">
        <f t="shared" si="0"/>
        <v>5754775</v>
      </c>
      <c r="I31" s="17" t="s">
        <v>713</v>
      </c>
      <c r="J31" s="21"/>
      <c r="K31" s="21"/>
      <c r="L31" s="21" t="s">
        <v>713</v>
      </c>
      <c r="M31" s="21"/>
      <c r="O31" s="15" t="s">
        <v>646</v>
      </c>
      <c r="P31" s="14" t="str">
        <f>HYPERLINK("#일위대가!A164", "▶바로가기")</f>
        <v>▶바로가기</v>
      </c>
    </row>
    <row r="32" spans="1:16" ht="30" customHeight="1" x14ac:dyDescent="0.3">
      <c r="A32" s="21" t="s">
        <v>571</v>
      </c>
      <c r="B32" s="21" t="s">
        <v>448</v>
      </c>
      <c r="C32" s="17" t="s">
        <v>94</v>
      </c>
      <c r="D32" s="21" t="s">
        <v>127</v>
      </c>
      <c r="E32" s="11">
        <f>TRUNC(일위대가!F180, 0)</f>
        <v>415548</v>
      </c>
      <c r="F32" s="11">
        <f>TRUNC(일위대가!H180, 0)</f>
        <v>6925816</v>
      </c>
      <c r="G32" s="11">
        <f>TRUNC(일위대가!J180, 0)</f>
        <v>0</v>
      </c>
      <c r="H32" s="11">
        <f t="shared" si="0"/>
        <v>7341364</v>
      </c>
      <c r="I32" s="17" t="s">
        <v>713</v>
      </c>
      <c r="J32" s="21"/>
      <c r="K32" s="21"/>
      <c r="L32" s="21" t="s">
        <v>713</v>
      </c>
      <c r="M32" s="21"/>
      <c r="O32" s="15" t="s">
        <v>646</v>
      </c>
      <c r="P32" s="14" t="str">
        <f>HYPERLINK("#일위대가!A173", "▶바로가기")</f>
        <v>▶바로가기</v>
      </c>
    </row>
    <row r="33" spans="1:16" ht="30" customHeight="1" x14ac:dyDescent="0.3">
      <c r="A33" s="21" t="s">
        <v>266</v>
      </c>
      <c r="B33" s="21" t="s">
        <v>371</v>
      </c>
      <c r="C33" s="17" t="s">
        <v>737</v>
      </c>
      <c r="D33" s="21" t="s">
        <v>107</v>
      </c>
      <c r="E33" s="11">
        <f>TRUNC(일위대가!F184, 0)</f>
        <v>426</v>
      </c>
      <c r="F33" s="11">
        <f>TRUNC(일위대가!H184, 0)</f>
        <v>5328</v>
      </c>
      <c r="G33" s="11">
        <f>TRUNC(일위대가!J184, 0)</f>
        <v>0</v>
      </c>
      <c r="H33" s="11">
        <f t="shared" si="0"/>
        <v>5754</v>
      </c>
      <c r="I33" s="17" t="s">
        <v>713</v>
      </c>
      <c r="J33" s="21"/>
      <c r="K33" s="21"/>
      <c r="L33" s="21" t="s">
        <v>713</v>
      </c>
      <c r="M33" s="21"/>
      <c r="O33" s="15" t="s">
        <v>646</v>
      </c>
      <c r="P33" s="14" t="str">
        <f>HYPERLINK("#일위대가!A182", "▶바로가기")</f>
        <v>▶바로가기</v>
      </c>
    </row>
    <row r="34" spans="1:16" ht="30" customHeight="1" x14ac:dyDescent="0.3">
      <c r="A34" s="21" t="s">
        <v>80</v>
      </c>
      <c r="B34" s="21" t="s">
        <v>371</v>
      </c>
      <c r="C34" s="17" t="s">
        <v>113</v>
      </c>
      <c r="D34" s="21" t="s">
        <v>107</v>
      </c>
      <c r="E34" s="11">
        <f>TRUNC(일위대가!F188, 0)</f>
        <v>415</v>
      </c>
      <c r="F34" s="11">
        <f>TRUNC(일위대가!H188, 0)</f>
        <v>6925</v>
      </c>
      <c r="G34" s="11">
        <f>TRUNC(일위대가!J188, 0)</f>
        <v>0</v>
      </c>
      <c r="H34" s="11">
        <f t="shared" si="0"/>
        <v>7340</v>
      </c>
      <c r="I34" s="17" t="s">
        <v>713</v>
      </c>
      <c r="J34" s="21"/>
      <c r="K34" s="21"/>
      <c r="L34" s="21" t="s">
        <v>713</v>
      </c>
      <c r="M34" s="21"/>
      <c r="O34" s="15" t="s">
        <v>646</v>
      </c>
      <c r="P34" s="14" t="str">
        <f>HYPERLINK("#일위대가!A186", "▶바로가기")</f>
        <v>▶바로가기</v>
      </c>
    </row>
    <row r="35" spans="1:16" ht="30" customHeight="1" x14ac:dyDescent="0.3">
      <c r="A35" s="21" t="s">
        <v>117</v>
      </c>
      <c r="B35" s="21" t="s">
        <v>110</v>
      </c>
      <c r="C35" s="17" t="s">
        <v>442</v>
      </c>
      <c r="D35" s="21" t="s">
        <v>128</v>
      </c>
      <c r="E35" s="11">
        <f>TRUNC(일위대가!F194, 0)</f>
        <v>12945</v>
      </c>
      <c r="F35" s="11">
        <f>TRUNC(일위대가!H194, 0)</f>
        <v>65233</v>
      </c>
      <c r="G35" s="11">
        <f>TRUNC(일위대가!J194, 0)</f>
        <v>0</v>
      </c>
      <c r="H35" s="11">
        <f t="shared" si="0"/>
        <v>78178</v>
      </c>
      <c r="I35" s="17" t="s">
        <v>646</v>
      </c>
      <c r="J35" s="21" t="s">
        <v>646</v>
      </c>
      <c r="K35" s="21"/>
      <c r="L35" s="21" t="s">
        <v>646</v>
      </c>
      <c r="M35" s="21" t="s">
        <v>646</v>
      </c>
      <c r="O35" s="15" t="s">
        <v>646</v>
      </c>
      <c r="P35" s="14" t="str">
        <f>HYPERLINK("#일위대가!A190", "▶바로가기")</f>
        <v>▶바로가기</v>
      </c>
    </row>
    <row r="36" spans="1:16" ht="30" customHeight="1" x14ac:dyDescent="0.3">
      <c r="A36" s="21" t="s">
        <v>144</v>
      </c>
      <c r="B36" s="21" t="s">
        <v>55</v>
      </c>
      <c r="C36" s="17" t="s">
        <v>487</v>
      </c>
      <c r="D36" s="21" t="s">
        <v>229</v>
      </c>
      <c r="E36" s="11">
        <f>TRUNC(일위대가!F201, 0)</f>
        <v>1767</v>
      </c>
      <c r="F36" s="11">
        <f>TRUNC(일위대가!H201, 0)</f>
        <v>6413</v>
      </c>
      <c r="G36" s="11">
        <f>TRUNC(일위대가!J201, 0)</f>
        <v>0</v>
      </c>
      <c r="H36" s="11">
        <f t="shared" si="0"/>
        <v>8180</v>
      </c>
      <c r="I36" s="17" t="s">
        <v>646</v>
      </c>
      <c r="J36" s="21"/>
      <c r="K36" s="21"/>
      <c r="L36" s="21" t="s">
        <v>646</v>
      </c>
      <c r="M36" s="21"/>
      <c r="O36" s="15" t="s">
        <v>646</v>
      </c>
      <c r="P36" s="14" t="str">
        <f>HYPERLINK("#일위대가!A196", "▶바로가기")</f>
        <v>▶바로가기</v>
      </c>
    </row>
    <row r="37" spans="1:16" ht="30" customHeight="1" x14ac:dyDescent="0.3">
      <c r="A37" s="21" t="s">
        <v>24</v>
      </c>
      <c r="B37" s="21" t="s">
        <v>477</v>
      </c>
      <c r="C37" s="17" t="s">
        <v>646</v>
      </c>
      <c r="D37" s="21" t="s">
        <v>128</v>
      </c>
      <c r="E37" s="11">
        <f>TRUNC(일위대가!F209, 0)</f>
        <v>358</v>
      </c>
      <c r="F37" s="11">
        <f>TRUNC(일위대가!H209, 0)</f>
        <v>2802</v>
      </c>
      <c r="G37" s="11">
        <f>TRUNC(일위대가!J209, 0)</f>
        <v>0</v>
      </c>
      <c r="H37" s="11">
        <f t="shared" si="0"/>
        <v>3160</v>
      </c>
      <c r="I37" s="17" t="s">
        <v>734</v>
      </c>
      <c r="J37" s="21"/>
      <c r="K37" s="21"/>
      <c r="L37" s="21" t="s">
        <v>734</v>
      </c>
      <c r="M37" s="21"/>
      <c r="O37" s="15" t="s">
        <v>646</v>
      </c>
      <c r="P37" s="14" t="str">
        <f>HYPERLINK("#일위대가!A203", "▶바로가기")</f>
        <v>▶바로가기</v>
      </c>
    </row>
    <row r="38" spans="1:16" ht="30" customHeight="1" x14ac:dyDescent="0.3">
      <c r="A38" s="21" t="s">
        <v>476</v>
      </c>
      <c r="B38" s="21" t="s">
        <v>61</v>
      </c>
      <c r="C38" s="17" t="s">
        <v>646</v>
      </c>
      <c r="D38" s="21" t="s">
        <v>128</v>
      </c>
      <c r="E38" s="11">
        <f>TRUNC(일위대가!F216, 0)</f>
        <v>432</v>
      </c>
      <c r="F38" s="11">
        <f>TRUNC(일위대가!H216, 0)</f>
        <v>1487</v>
      </c>
      <c r="G38" s="11">
        <f>TRUNC(일위대가!J216, 0)</f>
        <v>0</v>
      </c>
      <c r="H38" s="11">
        <f t="shared" si="0"/>
        <v>1919</v>
      </c>
      <c r="I38" s="17" t="s">
        <v>551</v>
      </c>
      <c r="J38" s="21"/>
      <c r="K38" s="21"/>
      <c r="L38" s="21" t="s">
        <v>551</v>
      </c>
      <c r="M38" s="21"/>
      <c r="O38" s="15" t="s">
        <v>646</v>
      </c>
      <c r="P38" s="14" t="str">
        <f>HYPERLINK("#일위대가!A211", "▶바로가기")</f>
        <v>▶바로가기</v>
      </c>
    </row>
    <row r="39" spans="1:16" ht="30" customHeight="1" x14ac:dyDescent="0.3">
      <c r="A39" s="21" t="s">
        <v>180</v>
      </c>
      <c r="B39" s="21" t="s">
        <v>644</v>
      </c>
      <c r="C39" s="17" t="s">
        <v>285</v>
      </c>
      <c r="D39" s="21" t="s">
        <v>128</v>
      </c>
      <c r="E39" s="11">
        <f>TRUNC(일위대가!F224, 0)</f>
        <v>237</v>
      </c>
      <c r="F39" s="11">
        <f>TRUNC(일위대가!H224, 0)</f>
        <v>11897</v>
      </c>
      <c r="G39" s="11">
        <f>TRUNC(일위대가!J224, 0)</f>
        <v>0</v>
      </c>
      <c r="H39" s="11">
        <f t="shared" si="0"/>
        <v>12134</v>
      </c>
      <c r="I39" s="17" t="s">
        <v>227</v>
      </c>
      <c r="J39" s="21"/>
      <c r="K39" s="21"/>
      <c r="L39" s="21" t="s">
        <v>227</v>
      </c>
      <c r="M39" s="21"/>
      <c r="O39" s="15" t="s">
        <v>646</v>
      </c>
      <c r="P39" s="14" t="str">
        <f>HYPERLINK("#일위대가!A218", "▶바로가기")</f>
        <v>▶바로가기</v>
      </c>
    </row>
    <row r="40" spans="1:16" ht="30" customHeight="1" x14ac:dyDescent="0.3">
      <c r="A40" s="21" t="s">
        <v>171</v>
      </c>
      <c r="B40" s="21" t="s">
        <v>315</v>
      </c>
      <c r="C40" s="17" t="s">
        <v>767</v>
      </c>
      <c r="D40" s="21" t="s">
        <v>128</v>
      </c>
      <c r="E40" s="11">
        <f>TRUNC(일위대가!F230, 0)</f>
        <v>1069</v>
      </c>
      <c r="F40" s="11">
        <f>TRUNC(일위대가!H230, 0)</f>
        <v>0</v>
      </c>
      <c r="G40" s="11">
        <f>TRUNC(일위대가!J230, 0)</f>
        <v>0</v>
      </c>
      <c r="H40" s="11">
        <f t="shared" si="0"/>
        <v>1069</v>
      </c>
      <c r="I40" s="17" t="s">
        <v>646</v>
      </c>
      <c r="J40" s="21" t="s">
        <v>646</v>
      </c>
      <c r="K40" s="21"/>
      <c r="L40" s="21" t="s">
        <v>646</v>
      </c>
      <c r="M40" s="21" t="s">
        <v>646</v>
      </c>
      <c r="O40" s="15" t="s">
        <v>646</v>
      </c>
      <c r="P40" s="14" t="str">
        <f>HYPERLINK("#일위대가!A226", "▶바로가기")</f>
        <v>▶바로가기</v>
      </c>
    </row>
    <row r="41" spans="1:16" ht="30" customHeight="1" x14ac:dyDescent="0.3">
      <c r="A41" s="21" t="s">
        <v>660</v>
      </c>
      <c r="B41" s="21" t="s">
        <v>377</v>
      </c>
      <c r="C41" s="17" t="s">
        <v>520</v>
      </c>
      <c r="D41" s="21" t="s">
        <v>128</v>
      </c>
      <c r="E41" s="11">
        <f>TRUNC(일위대가!F235, 0)</f>
        <v>1306</v>
      </c>
      <c r="F41" s="11">
        <f>TRUNC(일위대가!H235, 0)</f>
        <v>11897</v>
      </c>
      <c r="G41" s="11">
        <f>TRUNC(일위대가!J235, 0)</f>
        <v>0</v>
      </c>
      <c r="H41" s="11">
        <f t="shared" si="0"/>
        <v>13203</v>
      </c>
      <c r="I41" s="17" t="s">
        <v>227</v>
      </c>
      <c r="J41" s="21" t="s">
        <v>646</v>
      </c>
      <c r="K41" s="21"/>
      <c r="L41" s="21" t="s">
        <v>227</v>
      </c>
      <c r="M41" s="21" t="s">
        <v>646</v>
      </c>
      <c r="O41" s="15" t="s">
        <v>646</v>
      </c>
      <c r="P41" s="14" t="str">
        <f>HYPERLINK("#일위대가!A232", "▶바로가기")</f>
        <v>▶바로가기</v>
      </c>
    </row>
    <row r="42" spans="1:16" ht="30" customHeight="1" x14ac:dyDescent="0.3">
      <c r="A42" s="21" t="s">
        <v>666</v>
      </c>
      <c r="B42" s="21" t="s">
        <v>25</v>
      </c>
      <c r="C42" s="17" t="s">
        <v>85</v>
      </c>
      <c r="D42" s="21" t="s">
        <v>128</v>
      </c>
      <c r="E42" s="11">
        <f>TRUNC(일위대가!F241, 0)</f>
        <v>89</v>
      </c>
      <c r="F42" s="11">
        <f>TRUNC(일위대가!H241, 0)</f>
        <v>4461</v>
      </c>
      <c r="G42" s="11">
        <f>TRUNC(일위대가!J241, 0)</f>
        <v>0</v>
      </c>
      <c r="H42" s="11">
        <f t="shared" si="0"/>
        <v>4550</v>
      </c>
      <c r="I42" s="17" t="s">
        <v>414</v>
      </c>
      <c r="J42" s="21"/>
      <c r="K42" s="21"/>
      <c r="L42" s="21" t="s">
        <v>414</v>
      </c>
      <c r="M42" s="21"/>
      <c r="O42" s="15" t="s">
        <v>646</v>
      </c>
      <c r="P42" s="14" t="str">
        <f>HYPERLINK("#일위대가!A237", "▶바로가기")</f>
        <v>▶바로가기</v>
      </c>
    </row>
    <row r="43" spans="1:16" ht="30" customHeight="1" x14ac:dyDescent="0.3">
      <c r="A43" s="21" t="s">
        <v>744</v>
      </c>
      <c r="B43" s="21" t="s">
        <v>685</v>
      </c>
      <c r="C43" s="17" t="s">
        <v>740</v>
      </c>
      <c r="D43" s="21" t="s">
        <v>128</v>
      </c>
      <c r="E43" s="11">
        <f>TRUNC(일위대가!F247, 0)</f>
        <v>935</v>
      </c>
      <c r="F43" s="11">
        <f>TRUNC(일위대가!H247, 0)</f>
        <v>0</v>
      </c>
      <c r="G43" s="11">
        <f>TRUNC(일위대가!J247, 0)</f>
        <v>0</v>
      </c>
      <c r="H43" s="11">
        <f t="shared" si="0"/>
        <v>935</v>
      </c>
      <c r="I43" s="17" t="s">
        <v>414</v>
      </c>
      <c r="J43" s="21" t="s">
        <v>646</v>
      </c>
      <c r="K43" s="21"/>
      <c r="L43" s="21" t="s">
        <v>414</v>
      </c>
      <c r="M43" s="21" t="s">
        <v>646</v>
      </c>
      <c r="O43" s="15" t="s">
        <v>646</v>
      </c>
      <c r="P43" s="14" t="str">
        <f>HYPERLINK("#일위대가!A243", "▶바로가기")</f>
        <v>▶바로가기</v>
      </c>
    </row>
    <row r="44" spans="1:16" ht="30" customHeight="1" x14ac:dyDescent="0.3">
      <c r="A44" s="21" t="s">
        <v>51</v>
      </c>
      <c r="B44" s="21" t="s">
        <v>435</v>
      </c>
      <c r="C44" s="17" t="s">
        <v>211</v>
      </c>
      <c r="D44" s="21" t="s">
        <v>128</v>
      </c>
      <c r="E44" s="11">
        <f>TRUNC(일위대가!F252, 0)</f>
        <v>1024</v>
      </c>
      <c r="F44" s="11">
        <f>TRUNC(일위대가!H252, 0)</f>
        <v>4461</v>
      </c>
      <c r="G44" s="11">
        <f>TRUNC(일위대가!J252, 0)</f>
        <v>0</v>
      </c>
      <c r="H44" s="11">
        <f t="shared" si="0"/>
        <v>5485</v>
      </c>
      <c r="I44" s="17" t="s">
        <v>414</v>
      </c>
      <c r="J44" s="21" t="s">
        <v>646</v>
      </c>
      <c r="K44" s="21"/>
      <c r="L44" s="21" t="s">
        <v>414</v>
      </c>
      <c r="M44" s="21" t="s">
        <v>646</v>
      </c>
      <c r="O44" s="15" t="s">
        <v>646</v>
      </c>
      <c r="P44" s="14" t="str">
        <f>HYPERLINK("#일위대가!A249", "▶바로가기")</f>
        <v>▶바로가기</v>
      </c>
    </row>
    <row r="45" spans="1:16" ht="30" customHeight="1" x14ac:dyDescent="0.3">
      <c r="A45" s="21" t="s">
        <v>793</v>
      </c>
      <c r="B45" s="21" t="s">
        <v>420</v>
      </c>
      <c r="C45" s="17" t="s">
        <v>346</v>
      </c>
      <c r="D45" s="21" t="s">
        <v>128</v>
      </c>
      <c r="E45" s="11">
        <f>TRUNC(일위대가!F258, 0)</f>
        <v>280</v>
      </c>
      <c r="F45" s="11">
        <f>TRUNC(일위대가!H258, 0)</f>
        <v>9357</v>
      </c>
      <c r="G45" s="11">
        <f>TRUNC(일위대가!J258, 0)</f>
        <v>0</v>
      </c>
      <c r="H45" s="11">
        <f t="shared" si="0"/>
        <v>9637</v>
      </c>
      <c r="I45" s="17" t="s">
        <v>355</v>
      </c>
      <c r="J45" s="21"/>
      <c r="K45" s="21"/>
      <c r="L45" s="21" t="s">
        <v>355</v>
      </c>
      <c r="M45" s="21"/>
      <c r="O45" s="15" t="s">
        <v>646</v>
      </c>
      <c r="P45" s="14" t="str">
        <f>HYPERLINK("#일위대가!A254", "▶바로가기")</f>
        <v>▶바로가기</v>
      </c>
    </row>
    <row r="46" spans="1:16" ht="30" customHeight="1" x14ac:dyDescent="0.3">
      <c r="A46" s="21" t="s">
        <v>223</v>
      </c>
      <c r="B46" s="21" t="s">
        <v>570</v>
      </c>
      <c r="C46" s="17" t="s">
        <v>470</v>
      </c>
      <c r="D46" s="21" t="s">
        <v>128</v>
      </c>
      <c r="E46" s="11">
        <f>TRUNC(일위대가!F265, 0)</f>
        <v>1312</v>
      </c>
      <c r="F46" s="11">
        <f>TRUNC(일위대가!H265, 0)</f>
        <v>0</v>
      </c>
      <c r="G46" s="11">
        <f>TRUNC(일위대가!J265, 0)</f>
        <v>0</v>
      </c>
      <c r="H46" s="11">
        <f t="shared" si="0"/>
        <v>1312</v>
      </c>
      <c r="I46" s="17" t="s">
        <v>646</v>
      </c>
      <c r="J46" s="21" t="s">
        <v>646</v>
      </c>
      <c r="K46" s="21"/>
      <c r="L46" s="21" t="s">
        <v>646</v>
      </c>
      <c r="M46" s="21" t="s">
        <v>646</v>
      </c>
      <c r="O46" s="15" t="s">
        <v>646</v>
      </c>
      <c r="P46" s="14" t="str">
        <f>HYPERLINK("#일위대가!A260", "▶바로가기")</f>
        <v>▶바로가기</v>
      </c>
    </row>
    <row r="47" spans="1:16" ht="30" customHeight="1" x14ac:dyDescent="0.3">
      <c r="A47" s="21" t="s">
        <v>288</v>
      </c>
      <c r="B47" s="21" t="s">
        <v>769</v>
      </c>
      <c r="C47" s="17" t="s">
        <v>162</v>
      </c>
      <c r="D47" s="21" t="s">
        <v>128</v>
      </c>
      <c r="E47" s="11">
        <f>TRUNC(일위대가!F271, 0)</f>
        <v>390</v>
      </c>
      <c r="F47" s="11">
        <f>TRUNC(일위대가!H271, 0)</f>
        <v>19514</v>
      </c>
      <c r="G47" s="11">
        <f>TRUNC(일위대가!J271, 0)</f>
        <v>0</v>
      </c>
      <c r="H47" s="11">
        <f t="shared" si="0"/>
        <v>19904</v>
      </c>
      <c r="I47" s="17" t="s">
        <v>492</v>
      </c>
      <c r="J47" s="21"/>
      <c r="K47" s="21"/>
      <c r="L47" s="21" t="s">
        <v>492</v>
      </c>
      <c r="M47" s="21"/>
      <c r="O47" s="15" t="s">
        <v>646</v>
      </c>
      <c r="P47" s="14" t="str">
        <f>HYPERLINK("#일위대가!A267", "▶바로가기")</f>
        <v>▶바로가기</v>
      </c>
    </row>
    <row r="48" spans="1:16" ht="30" customHeight="1" x14ac:dyDescent="0.3">
      <c r="A48" s="21" t="s">
        <v>557</v>
      </c>
      <c r="B48" s="21" t="s">
        <v>433</v>
      </c>
      <c r="C48" s="17" t="s">
        <v>33</v>
      </c>
      <c r="D48" s="21" t="s">
        <v>128</v>
      </c>
      <c r="E48" s="11">
        <f>TRUNC(일위대가!F279, 0)</f>
        <v>522</v>
      </c>
      <c r="F48" s="11">
        <f>TRUNC(일위대가!H279, 0)</f>
        <v>0</v>
      </c>
      <c r="G48" s="11">
        <f>TRUNC(일위대가!J279, 0)</f>
        <v>0</v>
      </c>
      <c r="H48" s="11">
        <f t="shared" si="0"/>
        <v>522</v>
      </c>
      <c r="I48" s="17"/>
      <c r="J48" s="21"/>
      <c r="K48" s="21"/>
      <c r="L48" s="21"/>
      <c r="M48" s="21"/>
      <c r="O48" s="15" t="s">
        <v>646</v>
      </c>
      <c r="P48" s="14" t="str">
        <f>HYPERLINK("#일위대가!A273", "▶바로가기")</f>
        <v>▶바로가기</v>
      </c>
    </row>
    <row r="49" spans="1:16" ht="30" customHeight="1" x14ac:dyDescent="0.3">
      <c r="A49" s="21" t="s">
        <v>64</v>
      </c>
      <c r="B49" s="21" t="s">
        <v>756</v>
      </c>
      <c r="C49" s="17" t="s">
        <v>28</v>
      </c>
      <c r="D49" s="21" t="s">
        <v>128</v>
      </c>
      <c r="E49" s="11">
        <f>TRUNC(일위대가!F287, 0)</f>
        <v>8079</v>
      </c>
      <c r="F49" s="11">
        <f>TRUNC(일위대가!H287, 0)</f>
        <v>13384</v>
      </c>
      <c r="G49" s="11">
        <f>TRUNC(일위대가!J287, 0)</f>
        <v>0</v>
      </c>
      <c r="H49" s="11">
        <f t="shared" si="0"/>
        <v>21463</v>
      </c>
      <c r="I49" s="17" t="s">
        <v>646</v>
      </c>
      <c r="J49" s="21" t="s">
        <v>646</v>
      </c>
      <c r="K49" s="21"/>
      <c r="L49" s="21" t="s">
        <v>646</v>
      </c>
      <c r="M49" s="21" t="s">
        <v>646</v>
      </c>
      <c r="O49" s="15" t="s">
        <v>646</v>
      </c>
      <c r="P49" s="14" t="str">
        <f>HYPERLINK("#일위대가!A281", "▶바로가기")</f>
        <v>▶바로가기</v>
      </c>
    </row>
  </sheetData>
  <mergeCells count="2">
    <mergeCell ref="A1:I1"/>
    <mergeCell ref="A2:I2"/>
  </mergeCells>
  <phoneticPr fontId="15" type="noConversion"/>
  <pageMargins left="0.78740157480314954" right="0" top="0.39370078740157477" bottom="0.37735849056603776" header="0" footer="0"/>
  <pageSetup paperSize="9" scale="9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/>
    <pageSetUpPr fitToPage="1"/>
  </sheetPr>
  <dimension ref="A1:AE288"/>
  <sheetViews>
    <sheetView view="pageBreakPreview" zoomScale="60" zoomScaleNormal="100" workbookViewId="0">
      <selection activeCell="A3" sqref="A3:A4"/>
    </sheetView>
  </sheetViews>
  <sheetFormatPr defaultColWidth="9.125"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28" width="9.125" hidden="1"/>
    <col min="30" max="30" width="3.75" customWidth="1"/>
    <col min="31" max="31" width="12.625" customWidth="1"/>
  </cols>
  <sheetData>
    <row r="1" spans="1:31" ht="30" customHeight="1" x14ac:dyDescent="0.3">
      <c r="A1" s="96" t="s">
        <v>665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31" ht="30" customHeight="1" x14ac:dyDescent="0.3">
      <c r="A2" s="97" t="str">
        <f>"[" &amp; 설계서용지!F7 &amp; "]"</f>
        <v>[공용 스마트 교육공간 인프라 구축 건축공사]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31" ht="30" customHeight="1" x14ac:dyDescent="0.3">
      <c r="A3" s="105" t="s">
        <v>512</v>
      </c>
      <c r="B3" s="105" t="s">
        <v>397</v>
      </c>
      <c r="C3" s="105" t="s">
        <v>59</v>
      </c>
      <c r="D3" s="105" t="s">
        <v>641</v>
      </c>
      <c r="E3" s="98" t="s">
        <v>76</v>
      </c>
      <c r="F3" s="100"/>
      <c r="G3" s="98" t="s">
        <v>385</v>
      </c>
      <c r="H3" s="100"/>
      <c r="I3" s="98" t="s">
        <v>219</v>
      </c>
      <c r="J3" s="100"/>
      <c r="K3" s="98" t="s">
        <v>490</v>
      </c>
      <c r="L3" s="100"/>
      <c r="M3" s="105" t="s">
        <v>605</v>
      </c>
      <c r="N3" s="107" t="s">
        <v>6</v>
      </c>
      <c r="O3" s="108" t="s">
        <v>410</v>
      </c>
      <c r="P3" s="108" t="s">
        <v>352</v>
      </c>
      <c r="Q3" s="108" t="s">
        <v>447</v>
      </c>
      <c r="R3" s="108" t="s">
        <v>532</v>
      </c>
      <c r="S3" s="108" t="s">
        <v>340</v>
      </c>
      <c r="T3" s="108" t="s">
        <v>92</v>
      </c>
      <c r="U3" s="108" t="s">
        <v>167</v>
      </c>
      <c r="V3" s="108" t="s">
        <v>545</v>
      </c>
      <c r="W3" s="108" t="s">
        <v>460</v>
      </c>
      <c r="X3" s="108" t="s">
        <v>243</v>
      </c>
      <c r="Y3" s="108" t="s">
        <v>561</v>
      </c>
      <c r="Z3" s="108" t="s">
        <v>451</v>
      </c>
      <c r="AA3" s="108" t="s">
        <v>661</v>
      </c>
      <c r="AB3" s="108" t="s">
        <v>403</v>
      </c>
    </row>
    <row r="4" spans="1:31" ht="30" customHeight="1" x14ac:dyDescent="0.3">
      <c r="A4" s="106"/>
      <c r="B4" s="106"/>
      <c r="C4" s="106"/>
      <c r="D4" s="106"/>
      <c r="E4" s="18" t="s">
        <v>768</v>
      </c>
      <c r="F4" s="18" t="s">
        <v>7</v>
      </c>
      <c r="G4" s="18" t="s">
        <v>768</v>
      </c>
      <c r="H4" s="18" t="s">
        <v>7</v>
      </c>
      <c r="I4" s="18" t="s">
        <v>768</v>
      </c>
      <c r="J4" s="18" t="s">
        <v>7</v>
      </c>
      <c r="K4" s="18" t="s">
        <v>768</v>
      </c>
      <c r="L4" s="18" t="s">
        <v>7</v>
      </c>
      <c r="M4" s="106"/>
      <c r="N4" s="107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</row>
    <row r="5" spans="1:31" ht="30" customHeight="1" x14ac:dyDescent="0.3">
      <c r="A5" s="109" t="s">
        <v>245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1"/>
      <c r="N5" s="1" t="s">
        <v>271</v>
      </c>
    </row>
    <row r="6" spans="1:31" ht="30" customHeight="1" x14ac:dyDescent="0.3">
      <c r="A6" s="21" t="s">
        <v>255</v>
      </c>
      <c r="B6" s="17" t="s">
        <v>489</v>
      </c>
      <c r="C6" s="21" t="s">
        <v>717</v>
      </c>
      <c r="D6" s="24">
        <v>2.9000000000000001E-2</v>
      </c>
      <c r="E6" s="11">
        <f>단가대비표!U57</f>
        <v>0</v>
      </c>
      <c r="F6" s="8">
        <f>TRUNC(D6*ROUND(E6,1), 1)</f>
        <v>0</v>
      </c>
      <c r="G6" s="11">
        <f>단가대비표!V57</f>
        <v>277642</v>
      </c>
      <c r="H6" s="8">
        <f>TRUNC(D6*ROUND(G6,1), 1)</f>
        <v>8051.6</v>
      </c>
      <c r="I6" s="11">
        <f>단가대비표!AE57</f>
        <v>0</v>
      </c>
      <c r="J6" s="8">
        <f>TRUNC(D6*ROUND(I6,1), 1)</f>
        <v>0</v>
      </c>
      <c r="K6" s="8">
        <f>E6+G6+I6</f>
        <v>277642</v>
      </c>
      <c r="L6" s="8">
        <f>F6+H6+J6</f>
        <v>8051.6</v>
      </c>
      <c r="M6" s="17" t="s">
        <v>646</v>
      </c>
      <c r="N6" s="1" t="s">
        <v>271</v>
      </c>
      <c r="O6" s="15" t="s">
        <v>429</v>
      </c>
      <c r="P6" s="15" t="s">
        <v>646</v>
      </c>
      <c r="Q6" s="15" t="s">
        <v>646</v>
      </c>
      <c r="R6" s="15" t="s">
        <v>276</v>
      </c>
      <c r="S6" s="20">
        <v>10</v>
      </c>
      <c r="T6" s="15" t="s">
        <v>619</v>
      </c>
      <c r="U6" s="20">
        <v>0</v>
      </c>
      <c r="V6" s="20">
        <v>0</v>
      </c>
      <c r="W6" s="20">
        <v>0</v>
      </c>
      <c r="X6" s="20">
        <v>0</v>
      </c>
      <c r="Y6" s="20">
        <v>0</v>
      </c>
      <c r="Z6" s="20">
        <v>0</v>
      </c>
      <c r="AA6" s="20">
        <v>0</v>
      </c>
      <c r="AB6" s="20">
        <v>0</v>
      </c>
      <c r="AD6" s="15" t="s">
        <v>646</v>
      </c>
      <c r="AE6" s="14" t="str">
        <f>HYPERLINK("#단가대비표!B57", "▶바로가기")</f>
        <v>▶바로가기</v>
      </c>
    </row>
    <row r="7" spans="1:31" ht="30" customHeight="1" x14ac:dyDescent="0.3">
      <c r="A7" s="21" t="s">
        <v>515</v>
      </c>
      <c r="B7" s="21" t="s">
        <v>646</v>
      </c>
      <c r="C7" s="21" t="s">
        <v>646</v>
      </c>
      <c r="D7" s="21" t="s">
        <v>646</v>
      </c>
      <c r="E7" s="11">
        <v>0</v>
      </c>
      <c r="F7" s="11">
        <f>TRUNC(SUMIF(R6:R6, " ", F6:F6),0)</f>
        <v>0</v>
      </c>
      <c r="G7" s="11">
        <v>0</v>
      </c>
      <c r="H7" s="11">
        <f>TRUNC(SUMIF(R6:R6, " ", H6:H6),0)</f>
        <v>8051</v>
      </c>
      <c r="I7" s="11">
        <v>0</v>
      </c>
      <c r="J7" s="8">
        <f>TRUNC(SUMIF(R6:R6, " ", J6:J6),0)</f>
        <v>0</v>
      </c>
      <c r="K7" s="13" t="s">
        <v>646</v>
      </c>
      <c r="L7" s="11">
        <f>F7+H7+J7</f>
        <v>8051</v>
      </c>
      <c r="M7" s="17"/>
      <c r="N7" s="6" t="s">
        <v>293</v>
      </c>
      <c r="O7" s="23" t="s">
        <v>293</v>
      </c>
    </row>
    <row r="8" spans="1:31" ht="30" customHeight="1" x14ac:dyDescent="0.3">
      <c r="A8" s="21" t="s">
        <v>646</v>
      </c>
      <c r="B8" s="21" t="s">
        <v>646</v>
      </c>
      <c r="C8" s="21" t="s">
        <v>646</v>
      </c>
      <c r="D8" s="21" t="s">
        <v>646</v>
      </c>
      <c r="E8" s="21" t="s">
        <v>646</v>
      </c>
      <c r="F8" s="21" t="s">
        <v>646</v>
      </c>
      <c r="G8" s="21" t="s">
        <v>646</v>
      </c>
      <c r="H8" s="21" t="s">
        <v>646</v>
      </c>
      <c r="I8" s="21" t="s">
        <v>646</v>
      </c>
      <c r="J8" s="21" t="s">
        <v>646</v>
      </c>
      <c r="K8" s="21" t="s">
        <v>646</v>
      </c>
      <c r="L8" s="21" t="s">
        <v>646</v>
      </c>
      <c r="M8" s="21" t="s">
        <v>646</v>
      </c>
    </row>
    <row r="9" spans="1:31" ht="30" customHeight="1" x14ac:dyDescent="0.3">
      <c r="A9" s="109" t="s">
        <v>319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1"/>
      <c r="N9" s="1" t="s">
        <v>238</v>
      </c>
    </row>
    <row r="10" spans="1:31" ht="30" customHeight="1" x14ac:dyDescent="0.3">
      <c r="A10" s="21" t="s">
        <v>567</v>
      </c>
      <c r="B10" s="17" t="s">
        <v>489</v>
      </c>
      <c r="C10" s="21" t="s">
        <v>717</v>
      </c>
      <c r="D10" s="24">
        <v>4.4999999999999998E-2</v>
      </c>
      <c r="E10" s="11">
        <f>단가대비표!U53</f>
        <v>0</v>
      </c>
      <c r="F10" s="8">
        <f>TRUNC(D10*ROUND(E10,1), 1)</f>
        <v>0</v>
      </c>
      <c r="G10" s="11">
        <f>단가대비표!V53</f>
        <v>172068</v>
      </c>
      <c r="H10" s="8">
        <f>TRUNC(D10*ROUND(G10,1), 1)</f>
        <v>7743</v>
      </c>
      <c r="I10" s="11">
        <f>단가대비표!AE53</f>
        <v>0</v>
      </c>
      <c r="J10" s="8">
        <f>TRUNC(D10*ROUND(I10,1), 1)</f>
        <v>0</v>
      </c>
      <c r="K10" s="8">
        <f>E10+G10+I10</f>
        <v>172068</v>
      </c>
      <c r="L10" s="8">
        <f>F10+H10+J10</f>
        <v>7743</v>
      </c>
      <c r="M10" s="17" t="s">
        <v>646</v>
      </c>
      <c r="N10" s="1" t="s">
        <v>238</v>
      </c>
      <c r="O10" s="15" t="s">
        <v>589</v>
      </c>
      <c r="P10" s="15" t="s">
        <v>646</v>
      </c>
      <c r="Q10" s="15" t="s">
        <v>646</v>
      </c>
      <c r="R10" s="15" t="s">
        <v>276</v>
      </c>
      <c r="S10" s="20">
        <v>10</v>
      </c>
      <c r="T10" s="15" t="s">
        <v>218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D10" s="15" t="s">
        <v>646</v>
      </c>
      <c r="AE10" s="14" t="str">
        <f>HYPERLINK("#단가대비표!B53", "▶바로가기")</f>
        <v>▶바로가기</v>
      </c>
    </row>
    <row r="11" spans="1:31" ht="30" customHeight="1" x14ac:dyDescent="0.3">
      <c r="A11" s="21" t="s">
        <v>515</v>
      </c>
      <c r="B11" s="21" t="s">
        <v>646</v>
      </c>
      <c r="C11" s="21" t="s">
        <v>646</v>
      </c>
      <c r="D11" s="21" t="s">
        <v>646</v>
      </c>
      <c r="E11" s="11">
        <v>0</v>
      </c>
      <c r="F11" s="11">
        <f>TRUNC(SUMIF(R10:R10, " ", F10:F10),0)</f>
        <v>0</v>
      </c>
      <c r="G11" s="11">
        <v>0</v>
      </c>
      <c r="H11" s="11">
        <f>TRUNC(SUMIF(R10:R10, " ", H10:H10),0)</f>
        <v>7743</v>
      </c>
      <c r="I11" s="11">
        <v>0</v>
      </c>
      <c r="J11" s="8">
        <f>TRUNC(SUMIF(R10:R10, " ", J10:J10),0)</f>
        <v>0</v>
      </c>
      <c r="K11" s="13" t="s">
        <v>646</v>
      </c>
      <c r="L11" s="11">
        <f>F11+H11+J11</f>
        <v>7743</v>
      </c>
      <c r="M11" s="17"/>
      <c r="N11" s="6" t="s">
        <v>293</v>
      </c>
      <c r="O11" s="23" t="s">
        <v>293</v>
      </c>
    </row>
    <row r="12" spans="1:31" ht="30" customHeight="1" x14ac:dyDescent="0.3">
      <c r="A12" s="21" t="s">
        <v>646</v>
      </c>
      <c r="B12" s="21" t="s">
        <v>646</v>
      </c>
      <c r="C12" s="21" t="s">
        <v>646</v>
      </c>
      <c r="D12" s="21" t="s">
        <v>646</v>
      </c>
      <c r="E12" s="21" t="s">
        <v>646</v>
      </c>
      <c r="F12" s="21" t="s">
        <v>646</v>
      </c>
      <c r="G12" s="21" t="s">
        <v>646</v>
      </c>
      <c r="H12" s="21" t="s">
        <v>646</v>
      </c>
      <c r="I12" s="21" t="s">
        <v>646</v>
      </c>
      <c r="J12" s="21" t="s">
        <v>646</v>
      </c>
      <c r="K12" s="21" t="s">
        <v>646</v>
      </c>
      <c r="L12" s="21" t="s">
        <v>646</v>
      </c>
      <c r="M12" s="21" t="s">
        <v>646</v>
      </c>
    </row>
    <row r="13" spans="1:31" ht="30" customHeight="1" x14ac:dyDescent="0.3">
      <c r="A13" s="109" t="s">
        <v>303</v>
      </c>
      <c r="B13" s="110"/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1"/>
      <c r="N13" s="1" t="s">
        <v>71</v>
      </c>
    </row>
    <row r="14" spans="1:31" ht="30" customHeight="1" x14ac:dyDescent="0.3">
      <c r="A14" s="21" t="s">
        <v>506</v>
      </c>
      <c r="B14" s="17" t="s">
        <v>286</v>
      </c>
      <c r="C14" s="21" t="s">
        <v>425</v>
      </c>
      <c r="D14" s="24">
        <v>0.35</v>
      </c>
      <c r="E14" s="11">
        <f>단가대비표!U5</f>
        <v>9400</v>
      </c>
      <c r="F14" s="8">
        <f>TRUNC(D14*ROUND(E14,1), 1)</f>
        <v>3290</v>
      </c>
      <c r="G14" s="11">
        <f>단가대비표!V5</f>
        <v>0</v>
      </c>
      <c r="H14" s="8">
        <f>TRUNC(D14*ROUND(G14,1), 1)</f>
        <v>0</v>
      </c>
      <c r="I14" s="11">
        <f>단가대비표!AE5</f>
        <v>0</v>
      </c>
      <c r="J14" s="8">
        <f>TRUNC(D14*ROUND(I14,1), 1)</f>
        <v>0</v>
      </c>
      <c r="K14" s="8">
        <f t="shared" ref="K14:L16" si="0">E14+G14+I14</f>
        <v>9400</v>
      </c>
      <c r="L14" s="8">
        <f t="shared" si="0"/>
        <v>3290</v>
      </c>
      <c r="M14" s="17" t="s">
        <v>646</v>
      </c>
      <c r="N14" s="1" t="s">
        <v>71</v>
      </c>
      <c r="O14" s="15" t="s">
        <v>495</v>
      </c>
      <c r="P14" s="15" t="s">
        <v>646</v>
      </c>
      <c r="Q14" s="15" t="s">
        <v>646</v>
      </c>
      <c r="R14" s="15" t="s">
        <v>276</v>
      </c>
      <c r="S14" s="20">
        <v>10</v>
      </c>
      <c r="T14" s="15" t="s">
        <v>9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D14" s="15" t="s">
        <v>646</v>
      </c>
      <c r="AE14" s="14" t="str">
        <f>HYPERLINK("#단가대비표!B5", "▶바로가기")</f>
        <v>▶바로가기</v>
      </c>
    </row>
    <row r="15" spans="1:31" ht="30" customHeight="1" x14ac:dyDescent="0.3">
      <c r="A15" s="21" t="s">
        <v>749</v>
      </c>
      <c r="B15" s="17" t="s">
        <v>274</v>
      </c>
      <c r="C15" s="21" t="s">
        <v>229</v>
      </c>
      <c r="D15" s="24">
        <v>2</v>
      </c>
      <c r="E15" s="11">
        <f>단가대비표!U40</f>
        <v>0</v>
      </c>
      <c r="F15" s="8">
        <f>TRUNC(D15*ROUND(E15,1), 1)</f>
        <v>0</v>
      </c>
      <c r="G15" s="11">
        <f>단가대비표!V40</f>
        <v>0</v>
      </c>
      <c r="H15" s="8">
        <f>TRUNC(D15*ROUND(G15,1), 1)</f>
        <v>0</v>
      </c>
      <c r="I15" s="11">
        <f>단가대비표!AE40</f>
        <v>0</v>
      </c>
      <c r="J15" s="8">
        <f>TRUNC(D15*ROUND(I15,1), 1)</f>
        <v>0</v>
      </c>
      <c r="K15" s="8">
        <f t="shared" si="0"/>
        <v>0</v>
      </c>
      <c r="L15" s="8">
        <f t="shared" si="0"/>
        <v>0</v>
      </c>
      <c r="M15" s="17" t="s">
        <v>646</v>
      </c>
      <c r="N15" s="1" t="s">
        <v>71</v>
      </c>
      <c r="O15" s="15" t="s">
        <v>617</v>
      </c>
      <c r="P15" s="15" t="s">
        <v>646</v>
      </c>
      <c r="Q15" s="15" t="s">
        <v>646</v>
      </c>
      <c r="R15" s="15" t="s">
        <v>276</v>
      </c>
      <c r="S15" s="20">
        <v>20</v>
      </c>
      <c r="T15" s="15" t="s">
        <v>125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D15" s="15" t="s">
        <v>646</v>
      </c>
      <c r="AE15" s="14" t="str">
        <f>HYPERLINK("#단가대비표!B40", "▶바로가기")</f>
        <v>▶바로가기</v>
      </c>
    </row>
    <row r="16" spans="1:31" ht="30" customHeight="1" x14ac:dyDescent="0.3">
      <c r="A16" s="21" t="s">
        <v>567</v>
      </c>
      <c r="B16" s="17" t="s">
        <v>489</v>
      </c>
      <c r="C16" s="21" t="s">
        <v>717</v>
      </c>
      <c r="D16" s="24">
        <v>3.4000000000000002E-2</v>
      </c>
      <c r="E16" s="11">
        <f>단가대비표!U53</f>
        <v>0</v>
      </c>
      <c r="F16" s="8">
        <f>TRUNC(D16*ROUND(E16,1), 1)</f>
        <v>0</v>
      </c>
      <c r="G16" s="11">
        <f>단가대비표!V53</f>
        <v>172068</v>
      </c>
      <c r="H16" s="8">
        <f>TRUNC(D16*ROUND(G16,1), 1)</f>
        <v>5850.3</v>
      </c>
      <c r="I16" s="11">
        <f>단가대비표!AE53</f>
        <v>0</v>
      </c>
      <c r="J16" s="8">
        <f>TRUNC(D16*ROUND(I16,1), 1)</f>
        <v>0</v>
      </c>
      <c r="K16" s="8">
        <f t="shared" si="0"/>
        <v>172068</v>
      </c>
      <c r="L16" s="8">
        <f t="shared" si="0"/>
        <v>5850.3</v>
      </c>
      <c r="M16" s="17" t="s">
        <v>646</v>
      </c>
      <c r="N16" s="1" t="s">
        <v>71</v>
      </c>
      <c r="O16" s="15" t="s">
        <v>589</v>
      </c>
      <c r="P16" s="15" t="s">
        <v>646</v>
      </c>
      <c r="Q16" s="15" t="s">
        <v>646</v>
      </c>
      <c r="R16" s="15" t="s">
        <v>276</v>
      </c>
      <c r="S16" s="20">
        <v>30</v>
      </c>
      <c r="T16" s="15" t="s">
        <v>230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D16" s="15" t="s">
        <v>646</v>
      </c>
      <c r="AE16" s="14" t="str">
        <f>HYPERLINK("#단가대비표!B53", "▶바로가기")</f>
        <v>▶바로가기</v>
      </c>
    </row>
    <row r="17" spans="1:31" ht="30" customHeight="1" x14ac:dyDescent="0.3">
      <c r="A17" s="21" t="s">
        <v>515</v>
      </c>
      <c r="B17" s="21" t="s">
        <v>646</v>
      </c>
      <c r="C17" s="21" t="s">
        <v>646</v>
      </c>
      <c r="D17" s="21" t="s">
        <v>646</v>
      </c>
      <c r="E17" s="11">
        <v>0</v>
      </c>
      <c r="F17" s="11">
        <f>TRUNC(SUMIF(R14:R16, " ", F14:F16),0)</f>
        <v>3290</v>
      </c>
      <c r="G17" s="11">
        <v>0</v>
      </c>
      <c r="H17" s="11">
        <f>TRUNC(SUMIF(R14:R16, " ", H14:H16),0)</f>
        <v>5850</v>
      </c>
      <c r="I17" s="11">
        <v>0</v>
      </c>
      <c r="J17" s="8">
        <f>TRUNC(SUMIF(R14:R16, " ", J14:J16),0)</f>
        <v>0</v>
      </c>
      <c r="K17" s="13" t="s">
        <v>646</v>
      </c>
      <c r="L17" s="11">
        <f>F17+H17+J17</f>
        <v>9140</v>
      </c>
      <c r="M17" s="17"/>
      <c r="N17" s="6" t="s">
        <v>293</v>
      </c>
      <c r="O17" s="23" t="s">
        <v>293</v>
      </c>
    </row>
    <row r="18" spans="1:31" ht="30" customHeight="1" x14ac:dyDescent="0.3">
      <c r="A18" s="21" t="s">
        <v>646</v>
      </c>
      <c r="B18" s="21" t="s">
        <v>646</v>
      </c>
      <c r="C18" s="21" t="s">
        <v>646</v>
      </c>
      <c r="D18" s="21" t="s">
        <v>646</v>
      </c>
      <c r="E18" s="21" t="s">
        <v>646</v>
      </c>
      <c r="F18" s="21" t="s">
        <v>646</v>
      </c>
      <c r="G18" s="21" t="s">
        <v>646</v>
      </c>
      <c r="H18" s="21" t="s">
        <v>646</v>
      </c>
      <c r="I18" s="21" t="s">
        <v>646</v>
      </c>
      <c r="J18" s="21" t="s">
        <v>646</v>
      </c>
      <c r="K18" s="21" t="s">
        <v>646</v>
      </c>
      <c r="L18" s="21" t="s">
        <v>646</v>
      </c>
      <c r="M18" s="21" t="s">
        <v>646</v>
      </c>
    </row>
    <row r="19" spans="1:31" ht="30" customHeight="1" x14ac:dyDescent="0.3">
      <c r="A19" s="109" t="s">
        <v>166</v>
      </c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11"/>
      <c r="N19" s="1" t="s">
        <v>728</v>
      </c>
    </row>
    <row r="20" spans="1:31" ht="30" customHeight="1" x14ac:dyDescent="0.3">
      <c r="A20" s="21" t="s">
        <v>567</v>
      </c>
      <c r="B20" s="17" t="s">
        <v>489</v>
      </c>
      <c r="C20" s="21" t="s">
        <v>717</v>
      </c>
      <c r="D20" s="24">
        <v>0.05</v>
      </c>
      <c r="E20" s="11">
        <f>단가대비표!U53</f>
        <v>0</v>
      </c>
      <c r="F20" s="8">
        <f>TRUNC(D20*ROUND(E20,1), 1)</f>
        <v>0</v>
      </c>
      <c r="G20" s="11">
        <f>단가대비표!V53</f>
        <v>172068</v>
      </c>
      <c r="H20" s="8">
        <f>TRUNC(D20*ROUND(G20,1), 1)</f>
        <v>8603.4</v>
      </c>
      <c r="I20" s="11">
        <f>단가대비표!AE53</f>
        <v>0</v>
      </c>
      <c r="J20" s="8">
        <f>TRUNC(D20*ROUND(I20,1), 1)</f>
        <v>0</v>
      </c>
      <c r="K20" s="8">
        <f>E20+G20+I20</f>
        <v>172068</v>
      </c>
      <c r="L20" s="8">
        <f>F20+H20+J20</f>
        <v>8603.4</v>
      </c>
      <c r="M20" s="17" t="s">
        <v>646</v>
      </c>
      <c r="N20" s="1" t="s">
        <v>728</v>
      </c>
      <c r="O20" s="15" t="s">
        <v>589</v>
      </c>
      <c r="P20" s="15" t="s">
        <v>646</v>
      </c>
      <c r="Q20" s="15" t="s">
        <v>646</v>
      </c>
      <c r="R20" s="15" t="s">
        <v>276</v>
      </c>
      <c r="S20" s="20">
        <v>10</v>
      </c>
      <c r="T20" s="15" t="s">
        <v>437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D20" s="15" t="s">
        <v>646</v>
      </c>
      <c r="AE20" s="14" t="str">
        <f>HYPERLINK("#단가대비표!B53", "▶바로가기")</f>
        <v>▶바로가기</v>
      </c>
    </row>
    <row r="21" spans="1:31" ht="30" customHeight="1" x14ac:dyDescent="0.3">
      <c r="A21" s="21" t="s">
        <v>515</v>
      </c>
      <c r="B21" s="21" t="s">
        <v>646</v>
      </c>
      <c r="C21" s="21" t="s">
        <v>646</v>
      </c>
      <c r="D21" s="21" t="s">
        <v>646</v>
      </c>
      <c r="E21" s="11">
        <v>0</v>
      </c>
      <c r="F21" s="11">
        <f>TRUNC(SUMIF(R20:R20, " ", F20:F20),0)</f>
        <v>0</v>
      </c>
      <c r="G21" s="11">
        <v>0</v>
      </c>
      <c r="H21" s="11">
        <f>TRUNC(SUMIF(R20:R20, " ", H20:H20),0)</f>
        <v>8603</v>
      </c>
      <c r="I21" s="11">
        <v>0</v>
      </c>
      <c r="J21" s="8">
        <f>TRUNC(SUMIF(R20:R20, " ", J20:J20),0)</f>
        <v>0</v>
      </c>
      <c r="K21" s="13" t="s">
        <v>646</v>
      </c>
      <c r="L21" s="11">
        <f>F21+H21+J21</f>
        <v>8603</v>
      </c>
      <c r="M21" s="17"/>
      <c r="N21" s="6" t="s">
        <v>293</v>
      </c>
      <c r="O21" s="23" t="s">
        <v>293</v>
      </c>
    </row>
    <row r="22" spans="1:31" ht="30" customHeight="1" x14ac:dyDescent="0.3">
      <c r="A22" s="21" t="s">
        <v>646</v>
      </c>
      <c r="B22" s="21" t="s">
        <v>646</v>
      </c>
      <c r="C22" s="21" t="s">
        <v>646</v>
      </c>
      <c r="D22" s="21" t="s">
        <v>646</v>
      </c>
      <c r="E22" s="21" t="s">
        <v>646</v>
      </c>
      <c r="F22" s="21" t="s">
        <v>646</v>
      </c>
      <c r="G22" s="21" t="s">
        <v>646</v>
      </c>
      <c r="H22" s="21" t="s">
        <v>646</v>
      </c>
      <c r="I22" s="21" t="s">
        <v>646</v>
      </c>
      <c r="J22" s="21" t="s">
        <v>646</v>
      </c>
      <c r="K22" s="21" t="s">
        <v>646</v>
      </c>
      <c r="L22" s="21" t="s">
        <v>646</v>
      </c>
      <c r="M22" s="21" t="s">
        <v>646</v>
      </c>
    </row>
    <row r="23" spans="1:31" ht="30" customHeight="1" x14ac:dyDescent="0.3">
      <c r="A23" s="109" t="s">
        <v>614</v>
      </c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1"/>
      <c r="N23" s="1" t="s">
        <v>256</v>
      </c>
    </row>
    <row r="24" spans="1:31" ht="30" customHeight="1" x14ac:dyDescent="0.3">
      <c r="A24" s="21" t="s">
        <v>93</v>
      </c>
      <c r="B24" s="17" t="s">
        <v>489</v>
      </c>
      <c r="C24" s="21" t="s">
        <v>717</v>
      </c>
      <c r="D24" s="24">
        <v>0.04</v>
      </c>
      <c r="E24" s="11">
        <f>단가대비표!U54</f>
        <v>0</v>
      </c>
      <c r="F24" s="8">
        <f>TRUNC(D24*ROUND(E24,1), 1)</f>
        <v>0</v>
      </c>
      <c r="G24" s="11">
        <f>단가대비표!V54</f>
        <v>226122</v>
      </c>
      <c r="H24" s="8">
        <f>TRUNC(D24*ROUND(G24,1), 1)</f>
        <v>9044.7999999999993</v>
      </c>
      <c r="I24" s="11">
        <f>단가대비표!AE54</f>
        <v>0</v>
      </c>
      <c r="J24" s="8">
        <f>TRUNC(D24*ROUND(I24,1), 1)</f>
        <v>0</v>
      </c>
      <c r="K24" s="8">
        <f t="shared" ref="K24:L26" si="1">E24+G24+I24</f>
        <v>226122</v>
      </c>
      <c r="L24" s="8">
        <f t="shared" si="1"/>
        <v>9044.7999999999993</v>
      </c>
      <c r="M24" s="17" t="s">
        <v>646</v>
      </c>
      <c r="N24" s="1" t="s">
        <v>256</v>
      </c>
      <c r="O24" s="15" t="s">
        <v>497</v>
      </c>
      <c r="P24" s="15" t="s">
        <v>646</v>
      </c>
      <c r="Q24" s="15" t="s">
        <v>646</v>
      </c>
      <c r="R24" s="15" t="s">
        <v>276</v>
      </c>
      <c r="S24" s="20">
        <v>10</v>
      </c>
      <c r="T24" s="15" t="s">
        <v>636</v>
      </c>
      <c r="U24" s="20">
        <v>0</v>
      </c>
      <c r="V24" s="20">
        <v>1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D24" s="15" t="s">
        <v>646</v>
      </c>
      <c r="AE24" s="14" t="str">
        <f>HYPERLINK("#단가대비표!B54", "▶바로가기")</f>
        <v>▶바로가기</v>
      </c>
    </row>
    <row r="25" spans="1:31" ht="30" customHeight="1" x14ac:dyDescent="0.3">
      <c r="A25" s="21" t="s">
        <v>567</v>
      </c>
      <c r="B25" s="17" t="s">
        <v>489</v>
      </c>
      <c r="C25" s="21" t="s">
        <v>717</v>
      </c>
      <c r="D25" s="24">
        <v>2.3E-2</v>
      </c>
      <c r="E25" s="11">
        <f>단가대비표!U53</f>
        <v>0</v>
      </c>
      <c r="F25" s="8">
        <f>TRUNC(D25*ROUND(E25,1), 1)</f>
        <v>0</v>
      </c>
      <c r="G25" s="11">
        <f>단가대비표!V53</f>
        <v>172068</v>
      </c>
      <c r="H25" s="8">
        <f>TRUNC(D25*ROUND(G25,1), 1)</f>
        <v>3957.5</v>
      </c>
      <c r="I25" s="11">
        <f>단가대비표!AE53</f>
        <v>0</v>
      </c>
      <c r="J25" s="8">
        <f>TRUNC(D25*ROUND(I25,1), 1)</f>
        <v>0</v>
      </c>
      <c r="K25" s="8">
        <f t="shared" si="1"/>
        <v>172068</v>
      </c>
      <c r="L25" s="8">
        <f t="shared" si="1"/>
        <v>3957.5</v>
      </c>
      <c r="M25" s="17" t="s">
        <v>646</v>
      </c>
      <c r="N25" s="1" t="s">
        <v>256</v>
      </c>
      <c r="O25" s="15" t="s">
        <v>589</v>
      </c>
      <c r="P25" s="15" t="s">
        <v>646</v>
      </c>
      <c r="Q25" s="15" t="s">
        <v>646</v>
      </c>
      <c r="R25" s="15" t="s">
        <v>276</v>
      </c>
      <c r="S25" s="20">
        <v>20</v>
      </c>
      <c r="T25" s="15" t="s">
        <v>49</v>
      </c>
      <c r="U25" s="20">
        <v>0</v>
      </c>
      <c r="V25" s="20">
        <v>1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D25" s="15" t="s">
        <v>646</v>
      </c>
      <c r="AE25" s="14" t="str">
        <f>HYPERLINK("#단가대비표!B53", "▶바로가기")</f>
        <v>▶바로가기</v>
      </c>
    </row>
    <row r="26" spans="1:31" ht="30" customHeight="1" x14ac:dyDescent="0.3">
      <c r="A26" s="21" t="s">
        <v>233</v>
      </c>
      <c r="B26" s="17" t="s">
        <v>440</v>
      </c>
      <c r="C26" s="21" t="s">
        <v>738</v>
      </c>
      <c r="D26" s="24">
        <v>1</v>
      </c>
      <c r="E26" s="8">
        <f>TRUNC(SUMIF(V24:V26, RIGHTB(O26, 1), H24:H26)*U26, 1)</f>
        <v>650.1</v>
      </c>
      <c r="F26" s="8">
        <f>TRUNC(D26*E26,1)</f>
        <v>650.1</v>
      </c>
      <c r="G26" s="8">
        <v>0</v>
      </c>
      <c r="H26" s="8">
        <f>TRUNC(D26*G26,1)</f>
        <v>0</v>
      </c>
      <c r="I26" s="8">
        <v>0</v>
      </c>
      <c r="J26" s="8">
        <f>TRUNC(D26*I26,1)</f>
        <v>0</v>
      </c>
      <c r="K26" s="8">
        <f t="shared" si="1"/>
        <v>650.1</v>
      </c>
      <c r="L26" s="8">
        <f t="shared" si="1"/>
        <v>650.1</v>
      </c>
      <c r="M26" s="17"/>
      <c r="N26" s="1" t="s">
        <v>256</v>
      </c>
      <c r="O26" s="15" t="s">
        <v>456</v>
      </c>
      <c r="P26" s="15" t="s">
        <v>646</v>
      </c>
      <c r="Q26" s="15" t="s">
        <v>646</v>
      </c>
      <c r="R26" s="15" t="s">
        <v>276</v>
      </c>
      <c r="S26" s="20">
        <v>30</v>
      </c>
      <c r="T26" s="15" t="s">
        <v>750</v>
      </c>
      <c r="U26" s="20">
        <v>0.05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D26" s="15" t="s">
        <v>646</v>
      </c>
      <c r="AE26" s="15" t="s">
        <v>646</v>
      </c>
    </row>
    <row r="27" spans="1:31" ht="30" customHeight="1" x14ac:dyDescent="0.3">
      <c r="A27" s="21" t="s">
        <v>515</v>
      </c>
      <c r="B27" s="21" t="s">
        <v>646</v>
      </c>
      <c r="C27" s="21" t="s">
        <v>646</v>
      </c>
      <c r="D27" s="21" t="s">
        <v>646</v>
      </c>
      <c r="E27" s="11">
        <v>0</v>
      </c>
      <c r="F27" s="11">
        <f>TRUNC(SUMIF(R24:R26, " ", F24:F26),0)</f>
        <v>650</v>
      </c>
      <c r="G27" s="11">
        <v>0</v>
      </c>
      <c r="H27" s="11">
        <f>TRUNC(SUMIF(R24:R26, " ", H24:H26),0)</f>
        <v>13002</v>
      </c>
      <c r="I27" s="11">
        <v>0</v>
      </c>
      <c r="J27" s="8">
        <f>TRUNC(SUMIF(R24:R26, " ", J24:J26),0)</f>
        <v>0</v>
      </c>
      <c r="K27" s="13" t="s">
        <v>646</v>
      </c>
      <c r="L27" s="11">
        <f>F27+H27+J27</f>
        <v>13652</v>
      </c>
      <c r="M27" s="17"/>
      <c r="N27" s="6" t="s">
        <v>293</v>
      </c>
      <c r="O27" s="23" t="s">
        <v>293</v>
      </c>
    </row>
    <row r="28" spans="1:31" ht="30" customHeight="1" x14ac:dyDescent="0.3">
      <c r="A28" s="21" t="s">
        <v>646</v>
      </c>
      <c r="B28" s="21" t="s">
        <v>646</v>
      </c>
      <c r="C28" s="21" t="s">
        <v>646</v>
      </c>
      <c r="D28" s="21" t="s">
        <v>646</v>
      </c>
      <c r="E28" s="21" t="s">
        <v>646</v>
      </c>
      <c r="F28" s="21" t="s">
        <v>646</v>
      </c>
      <c r="G28" s="21" t="s">
        <v>646</v>
      </c>
      <c r="H28" s="21" t="s">
        <v>646</v>
      </c>
      <c r="I28" s="21" t="s">
        <v>646</v>
      </c>
      <c r="J28" s="21" t="s">
        <v>646</v>
      </c>
      <c r="K28" s="21" t="s">
        <v>646</v>
      </c>
      <c r="L28" s="21" t="s">
        <v>646</v>
      </c>
      <c r="M28" s="21" t="s">
        <v>646</v>
      </c>
    </row>
    <row r="29" spans="1:31" ht="30" customHeight="1" x14ac:dyDescent="0.3">
      <c r="A29" s="109" t="s">
        <v>581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1"/>
      <c r="N29" s="1" t="s">
        <v>627</v>
      </c>
    </row>
    <row r="30" spans="1:31" ht="30" customHeight="1" x14ac:dyDescent="0.3">
      <c r="A30" s="21" t="s">
        <v>255</v>
      </c>
      <c r="B30" s="17" t="s">
        <v>489</v>
      </c>
      <c r="C30" s="21" t="s">
        <v>717</v>
      </c>
      <c r="D30" s="24">
        <v>1.7999999999999999E-2</v>
      </c>
      <c r="E30" s="11">
        <f>단가대비표!U57</f>
        <v>0</v>
      </c>
      <c r="F30" s="8">
        <f>TRUNC(D30*ROUND(E30,1), 1)</f>
        <v>0</v>
      </c>
      <c r="G30" s="11">
        <f>단가대비표!V57</f>
        <v>277642</v>
      </c>
      <c r="H30" s="8">
        <f>TRUNC(D30*ROUND(G30,1), 1)</f>
        <v>4997.5</v>
      </c>
      <c r="I30" s="11">
        <f>단가대비표!AE57</f>
        <v>0</v>
      </c>
      <c r="J30" s="8">
        <f>TRUNC(D30*ROUND(I30,1), 1)</f>
        <v>0</v>
      </c>
      <c r="K30" s="8">
        <f t="shared" ref="K30:L32" si="2">E30+G30+I30</f>
        <v>277642</v>
      </c>
      <c r="L30" s="8">
        <f t="shared" si="2"/>
        <v>4997.5</v>
      </c>
      <c r="M30" s="17" t="s">
        <v>646</v>
      </c>
      <c r="N30" s="1" t="s">
        <v>627</v>
      </c>
      <c r="O30" s="15" t="s">
        <v>429</v>
      </c>
      <c r="P30" s="15" t="s">
        <v>646</v>
      </c>
      <c r="Q30" s="15" t="s">
        <v>646</v>
      </c>
      <c r="R30" s="15" t="s">
        <v>276</v>
      </c>
      <c r="S30" s="20">
        <v>10</v>
      </c>
      <c r="T30" s="15" t="s">
        <v>115</v>
      </c>
      <c r="U30" s="20">
        <v>0</v>
      </c>
      <c r="V30" s="20">
        <v>1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D30" s="15" t="s">
        <v>646</v>
      </c>
      <c r="AE30" s="14" t="str">
        <f>HYPERLINK("#단가대비표!B57", "▶바로가기")</f>
        <v>▶바로가기</v>
      </c>
    </row>
    <row r="31" spans="1:31" ht="30" customHeight="1" x14ac:dyDescent="0.3">
      <c r="A31" s="21" t="s">
        <v>567</v>
      </c>
      <c r="B31" s="17" t="s">
        <v>489</v>
      </c>
      <c r="C31" s="21" t="s">
        <v>717</v>
      </c>
      <c r="D31" s="24">
        <v>1.2999999999999999E-2</v>
      </c>
      <c r="E31" s="11">
        <f>단가대비표!U53</f>
        <v>0</v>
      </c>
      <c r="F31" s="8">
        <f>TRUNC(D31*ROUND(E31,1), 1)</f>
        <v>0</v>
      </c>
      <c r="G31" s="11">
        <f>단가대비표!V53</f>
        <v>172068</v>
      </c>
      <c r="H31" s="8">
        <f>TRUNC(D31*ROUND(G31,1), 1)</f>
        <v>2236.8000000000002</v>
      </c>
      <c r="I31" s="11">
        <f>단가대비표!AE53</f>
        <v>0</v>
      </c>
      <c r="J31" s="8">
        <f>TRUNC(D31*ROUND(I31,1), 1)</f>
        <v>0</v>
      </c>
      <c r="K31" s="8">
        <f t="shared" si="2"/>
        <v>172068</v>
      </c>
      <c r="L31" s="8">
        <f t="shared" si="2"/>
        <v>2236.8000000000002</v>
      </c>
      <c r="M31" s="17" t="s">
        <v>646</v>
      </c>
      <c r="N31" s="1" t="s">
        <v>627</v>
      </c>
      <c r="O31" s="15" t="s">
        <v>589</v>
      </c>
      <c r="P31" s="15" t="s">
        <v>646</v>
      </c>
      <c r="Q31" s="15" t="s">
        <v>646</v>
      </c>
      <c r="R31" s="15" t="s">
        <v>276</v>
      </c>
      <c r="S31" s="20">
        <v>20</v>
      </c>
      <c r="T31" s="15" t="s">
        <v>564</v>
      </c>
      <c r="U31" s="20">
        <v>0</v>
      </c>
      <c r="V31" s="20">
        <v>1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D31" s="15" t="s">
        <v>646</v>
      </c>
      <c r="AE31" s="14" t="str">
        <f>HYPERLINK("#단가대비표!B53", "▶바로가기")</f>
        <v>▶바로가기</v>
      </c>
    </row>
    <row r="32" spans="1:31" ht="30" customHeight="1" x14ac:dyDescent="0.3">
      <c r="A32" s="21" t="s">
        <v>198</v>
      </c>
      <c r="B32" s="17" t="s">
        <v>5</v>
      </c>
      <c r="C32" s="21" t="s">
        <v>738</v>
      </c>
      <c r="D32" s="24">
        <v>1</v>
      </c>
      <c r="E32" s="8">
        <v>0</v>
      </c>
      <c r="F32" s="8">
        <f>TRUNC(D32*E32,1)</f>
        <v>0</v>
      </c>
      <c r="G32" s="8">
        <v>0</v>
      </c>
      <c r="H32" s="8">
        <f>TRUNC(D32*G32,1)</f>
        <v>0</v>
      </c>
      <c r="I32" s="8">
        <f>TRUNC(SUMIF(V30:V32, RIGHTB(O32, 1), H30:H32)*U32, 1)</f>
        <v>144.6</v>
      </c>
      <c r="J32" s="8">
        <f>TRUNC(D32*I32,1)</f>
        <v>144.6</v>
      </c>
      <c r="K32" s="8">
        <f t="shared" si="2"/>
        <v>144.6</v>
      </c>
      <c r="L32" s="8">
        <f t="shared" si="2"/>
        <v>144.6</v>
      </c>
      <c r="M32" s="17"/>
      <c r="N32" s="1" t="s">
        <v>627</v>
      </c>
      <c r="O32" s="15" t="s">
        <v>456</v>
      </c>
      <c r="P32" s="15" t="s">
        <v>646</v>
      </c>
      <c r="Q32" s="15" t="s">
        <v>646</v>
      </c>
      <c r="R32" s="15" t="s">
        <v>276</v>
      </c>
      <c r="S32" s="20">
        <v>30</v>
      </c>
      <c r="T32" s="15" t="s">
        <v>676</v>
      </c>
      <c r="U32" s="20">
        <v>0.02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D32" s="15" t="s">
        <v>646</v>
      </c>
      <c r="AE32" s="15" t="s">
        <v>646</v>
      </c>
    </row>
    <row r="33" spans="1:31" ht="30" customHeight="1" x14ac:dyDescent="0.3">
      <c r="A33" s="21" t="s">
        <v>515</v>
      </c>
      <c r="B33" s="21" t="s">
        <v>646</v>
      </c>
      <c r="C33" s="21" t="s">
        <v>646</v>
      </c>
      <c r="D33" s="21" t="s">
        <v>646</v>
      </c>
      <c r="E33" s="11">
        <v>0</v>
      </c>
      <c r="F33" s="11">
        <f>TRUNC(SUMIF(R30:R32, " ", F30:F32),0)</f>
        <v>0</v>
      </c>
      <c r="G33" s="11">
        <v>0</v>
      </c>
      <c r="H33" s="11">
        <f>TRUNC(SUMIF(R30:R32, " ", H30:H32),0)</f>
        <v>7234</v>
      </c>
      <c r="I33" s="11">
        <v>0</v>
      </c>
      <c r="J33" s="8">
        <f>TRUNC(SUMIF(R30:R32, " ", J30:J32),0)</f>
        <v>144</v>
      </c>
      <c r="K33" s="13" t="s">
        <v>646</v>
      </c>
      <c r="L33" s="11">
        <f>F33+H33+J33</f>
        <v>7378</v>
      </c>
      <c r="M33" s="17"/>
      <c r="N33" s="6" t="s">
        <v>293</v>
      </c>
      <c r="O33" s="23" t="s">
        <v>293</v>
      </c>
    </row>
    <row r="34" spans="1:31" ht="30" customHeight="1" x14ac:dyDescent="0.3">
      <c r="A34" s="21" t="s">
        <v>646</v>
      </c>
      <c r="B34" s="21" t="s">
        <v>646</v>
      </c>
      <c r="C34" s="21" t="s">
        <v>646</v>
      </c>
      <c r="D34" s="21" t="s">
        <v>646</v>
      </c>
      <c r="E34" s="21" t="s">
        <v>646</v>
      </c>
      <c r="F34" s="21" t="s">
        <v>646</v>
      </c>
      <c r="G34" s="21" t="s">
        <v>646</v>
      </c>
      <c r="H34" s="21" t="s">
        <v>646</v>
      </c>
      <c r="I34" s="21" t="s">
        <v>646</v>
      </c>
      <c r="J34" s="21" t="s">
        <v>646</v>
      </c>
      <c r="K34" s="21" t="s">
        <v>646</v>
      </c>
      <c r="L34" s="21" t="s">
        <v>646</v>
      </c>
      <c r="M34" s="21" t="s">
        <v>646</v>
      </c>
    </row>
    <row r="35" spans="1:31" ht="30" customHeight="1" x14ac:dyDescent="0.3">
      <c r="A35" s="109" t="s">
        <v>549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1"/>
      <c r="N35" s="1" t="s">
        <v>21</v>
      </c>
    </row>
    <row r="36" spans="1:31" ht="30" customHeight="1" x14ac:dyDescent="0.3">
      <c r="A36" s="21" t="s">
        <v>709</v>
      </c>
      <c r="B36" s="17" t="s">
        <v>489</v>
      </c>
      <c r="C36" s="21" t="s">
        <v>717</v>
      </c>
      <c r="D36" s="24">
        <v>1.4E-2</v>
      </c>
      <c r="E36" s="11">
        <f>단가대비표!U60</f>
        <v>0</v>
      </c>
      <c r="F36" s="8">
        <f>TRUNC(D36*ROUND(E36,1), 1)</f>
        <v>0</v>
      </c>
      <c r="G36" s="11">
        <f>단가대비표!V60</f>
        <v>256883</v>
      </c>
      <c r="H36" s="8">
        <f>TRUNC(D36*ROUND(G36,1), 1)</f>
        <v>3596.3</v>
      </c>
      <c r="I36" s="11">
        <f>단가대비표!AE60</f>
        <v>0</v>
      </c>
      <c r="J36" s="8">
        <f>TRUNC(D36*ROUND(I36,1), 1)</f>
        <v>0</v>
      </c>
      <c r="K36" s="8">
        <f t="shared" ref="K36:L38" si="3">E36+G36+I36</f>
        <v>256883</v>
      </c>
      <c r="L36" s="8">
        <f t="shared" si="3"/>
        <v>3596.3</v>
      </c>
      <c r="M36" s="17" t="s">
        <v>646</v>
      </c>
      <c r="N36" s="1" t="s">
        <v>21</v>
      </c>
      <c r="O36" s="15" t="s">
        <v>108</v>
      </c>
      <c r="P36" s="15" t="s">
        <v>646</v>
      </c>
      <c r="Q36" s="15" t="s">
        <v>646</v>
      </c>
      <c r="R36" s="15" t="s">
        <v>276</v>
      </c>
      <c r="S36" s="20">
        <v>10</v>
      </c>
      <c r="T36" s="15" t="s">
        <v>0</v>
      </c>
      <c r="U36" s="20">
        <v>0</v>
      </c>
      <c r="V36" s="20">
        <v>1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D36" s="15" t="s">
        <v>646</v>
      </c>
      <c r="AE36" s="14" t="str">
        <f>HYPERLINK("#단가대비표!B60", "▶바로가기")</f>
        <v>▶바로가기</v>
      </c>
    </row>
    <row r="37" spans="1:31" ht="30" customHeight="1" x14ac:dyDescent="0.3">
      <c r="A37" s="21" t="s">
        <v>567</v>
      </c>
      <c r="B37" s="17" t="s">
        <v>489</v>
      </c>
      <c r="C37" s="21" t="s">
        <v>717</v>
      </c>
      <c r="D37" s="24">
        <v>7.0000000000000001E-3</v>
      </c>
      <c r="E37" s="11">
        <f>단가대비표!U53</f>
        <v>0</v>
      </c>
      <c r="F37" s="8">
        <f>TRUNC(D37*ROUND(E37,1), 1)</f>
        <v>0</v>
      </c>
      <c r="G37" s="11">
        <f>단가대비표!V53</f>
        <v>172068</v>
      </c>
      <c r="H37" s="8">
        <f>TRUNC(D37*ROUND(G37,1), 1)</f>
        <v>1204.4000000000001</v>
      </c>
      <c r="I37" s="11">
        <f>단가대비표!AE53</f>
        <v>0</v>
      </c>
      <c r="J37" s="8">
        <f>TRUNC(D37*ROUND(I37,1), 1)</f>
        <v>0</v>
      </c>
      <c r="K37" s="8">
        <f t="shared" si="3"/>
        <v>172068</v>
      </c>
      <c r="L37" s="8">
        <f t="shared" si="3"/>
        <v>1204.4000000000001</v>
      </c>
      <c r="M37" s="17" t="s">
        <v>646</v>
      </c>
      <c r="N37" s="1" t="s">
        <v>21</v>
      </c>
      <c r="O37" s="15" t="s">
        <v>589</v>
      </c>
      <c r="P37" s="15" t="s">
        <v>646</v>
      </c>
      <c r="Q37" s="15" t="s">
        <v>646</v>
      </c>
      <c r="R37" s="15" t="s">
        <v>276</v>
      </c>
      <c r="S37" s="20">
        <v>20</v>
      </c>
      <c r="T37" s="15" t="s">
        <v>369</v>
      </c>
      <c r="U37" s="20">
        <v>0</v>
      </c>
      <c r="V37" s="20">
        <v>1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D37" s="15" t="s">
        <v>646</v>
      </c>
      <c r="AE37" s="14" t="str">
        <f>HYPERLINK("#단가대비표!B53", "▶바로가기")</f>
        <v>▶바로가기</v>
      </c>
    </row>
    <row r="38" spans="1:31" ht="30" customHeight="1" x14ac:dyDescent="0.3">
      <c r="A38" s="21" t="s">
        <v>233</v>
      </c>
      <c r="B38" s="17" t="s">
        <v>440</v>
      </c>
      <c r="C38" s="21" t="s">
        <v>738</v>
      </c>
      <c r="D38" s="24">
        <v>1</v>
      </c>
      <c r="E38" s="8">
        <f>TRUNC(SUMIF(V36:V38, RIGHTB(O38, 1), H36:H38)*U38, 1)</f>
        <v>240</v>
      </c>
      <c r="F38" s="8">
        <f>TRUNC(D38*E38,1)</f>
        <v>240</v>
      </c>
      <c r="G38" s="8">
        <v>0</v>
      </c>
      <c r="H38" s="8">
        <f>TRUNC(D38*G38,1)</f>
        <v>0</v>
      </c>
      <c r="I38" s="8">
        <v>0</v>
      </c>
      <c r="J38" s="8">
        <f>TRUNC(D38*I38,1)</f>
        <v>0</v>
      </c>
      <c r="K38" s="8">
        <f t="shared" si="3"/>
        <v>240</v>
      </c>
      <c r="L38" s="8">
        <f t="shared" si="3"/>
        <v>240</v>
      </c>
      <c r="M38" s="17"/>
      <c r="N38" s="1" t="s">
        <v>21</v>
      </c>
      <c r="O38" s="15" t="s">
        <v>456</v>
      </c>
      <c r="P38" s="15" t="s">
        <v>646</v>
      </c>
      <c r="Q38" s="15" t="s">
        <v>646</v>
      </c>
      <c r="R38" s="15" t="s">
        <v>276</v>
      </c>
      <c r="S38" s="20">
        <v>30</v>
      </c>
      <c r="T38" s="15" t="s">
        <v>750</v>
      </c>
      <c r="U38" s="20">
        <v>0.05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D38" s="15" t="s">
        <v>646</v>
      </c>
      <c r="AE38" s="15" t="s">
        <v>646</v>
      </c>
    </row>
    <row r="39" spans="1:31" ht="30" customHeight="1" x14ac:dyDescent="0.3">
      <c r="A39" s="21" t="s">
        <v>515</v>
      </c>
      <c r="B39" s="21" t="s">
        <v>646</v>
      </c>
      <c r="C39" s="21" t="s">
        <v>646</v>
      </c>
      <c r="D39" s="21" t="s">
        <v>646</v>
      </c>
      <c r="E39" s="11">
        <v>0</v>
      </c>
      <c r="F39" s="11">
        <f>TRUNC(SUMIF(R36:R38, " ", F36:F38),0)</f>
        <v>240</v>
      </c>
      <c r="G39" s="11">
        <v>0</v>
      </c>
      <c r="H39" s="11">
        <f>TRUNC(SUMIF(R36:R38, " ", H36:H38),0)</f>
        <v>4800</v>
      </c>
      <c r="I39" s="11">
        <v>0</v>
      </c>
      <c r="J39" s="8">
        <f>TRUNC(SUMIF(R36:R38, " ", J36:J38),0)</f>
        <v>0</v>
      </c>
      <c r="K39" s="13" t="s">
        <v>646</v>
      </c>
      <c r="L39" s="11">
        <f>F39+H39+J39</f>
        <v>5040</v>
      </c>
      <c r="M39" s="17"/>
      <c r="N39" s="6" t="s">
        <v>293</v>
      </c>
      <c r="O39" s="23" t="s">
        <v>293</v>
      </c>
    </row>
    <row r="40" spans="1:31" ht="30" customHeight="1" x14ac:dyDescent="0.3">
      <c r="A40" s="21" t="s">
        <v>646</v>
      </c>
      <c r="B40" s="21" t="s">
        <v>646</v>
      </c>
      <c r="C40" s="21" t="s">
        <v>646</v>
      </c>
      <c r="D40" s="21" t="s">
        <v>646</v>
      </c>
      <c r="E40" s="21" t="s">
        <v>646</v>
      </c>
      <c r="F40" s="21" t="s">
        <v>646</v>
      </c>
      <c r="G40" s="21" t="s">
        <v>646</v>
      </c>
      <c r="H40" s="21" t="s">
        <v>646</v>
      </c>
      <c r="I40" s="21" t="s">
        <v>646</v>
      </c>
      <c r="J40" s="21" t="s">
        <v>646</v>
      </c>
      <c r="K40" s="21" t="s">
        <v>646</v>
      </c>
      <c r="L40" s="21" t="s">
        <v>646</v>
      </c>
      <c r="M40" s="21" t="s">
        <v>646</v>
      </c>
    </row>
    <row r="41" spans="1:31" ht="30" customHeight="1" x14ac:dyDescent="0.3">
      <c r="A41" s="109" t="s">
        <v>239</v>
      </c>
      <c r="B41" s="110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1"/>
      <c r="N41" s="1" t="s">
        <v>365</v>
      </c>
    </row>
    <row r="42" spans="1:31" ht="30" customHeight="1" x14ac:dyDescent="0.3">
      <c r="A42" s="21" t="s">
        <v>672</v>
      </c>
      <c r="B42" s="17" t="s">
        <v>489</v>
      </c>
      <c r="C42" s="21" t="s">
        <v>717</v>
      </c>
      <c r="D42" s="24">
        <v>6.9000000000000006E-2</v>
      </c>
      <c r="E42" s="11">
        <f>단가대비표!U56</f>
        <v>0</v>
      </c>
      <c r="F42" s="8">
        <f>TRUNC(D42*ROUND(E42,1), 1)</f>
        <v>0</v>
      </c>
      <c r="G42" s="11">
        <f>단가대비표!V56</f>
        <v>282536</v>
      </c>
      <c r="H42" s="8">
        <f>TRUNC(D42*ROUND(G42,1), 1)</f>
        <v>19494.900000000001</v>
      </c>
      <c r="I42" s="11">
        <f>단가대비표!AE56</f>
        <v>0</v>
      </c>
      <c r="J42" s="8">
        <f>TRUNC(D42*ROUND(I42,1), 1)</f>
        <v>0</v>
      </c>
      <c r="K42" s="8">
        <f t="shared" ref="K42:L44" si="4">E42+G42+I42</f>
        <v>282536</v>
      </c>
      <c r="L42" s="8">
        <f t="shared" si="4"/>
        <v>19494.900000000001</v>
      </c>
      <c r="M42" s="17" t="s">
        <v>646</v>
      </c>
      <c r="N42" s="1" t="s">
        <v>365</v>
      </c>
      <c r="O42" s="15" t="s">
        <v>77</v>
      </c>
      <c r="P42" s="15" t="s">
        <v>646</v>
      </c>
      <c r="Q42" s="15" t="s">
        <v>646</v>
      </c>
      <c r="R42" s="15" t="s">
        <v>276</v>
      </c>
      <c r="S42" s="20">
        <v>10</v>
      </c>
      <c r="T42" s="15" t="s">
        <v>556</v>
      </c>
      <c r="U42" s="20">
        <v>0</v>
      </c>
      <c r="V42" s="20">
        <v>1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D42" s="15" t="s">
        <v>646</v>
      </c>
      <c r="AE42" s="14" t="str">
        <f>HYPERLINK("#단가대비표!B56", "▶바로가기")</f>
        <v>▶바로가기</v>
      </c>
    </row>
    <row r="43" spans="1:31" ht="30" customHeight="1" x14ac:dyDescent="0.3">
      <c r="A43" s="21" t="s">
        <v>567</v>
      </c>
      <c r="B43" s="17" t="s">
        <v>489</v>
      </c>
      <c r="C43" s="21" t="s">
        <v>717</v>
      </c>
      <c r="D43" s="24">
        <v>3.4000000000000002E-2</v>
      </c>
      <c r="E43" s="11">
        <f>단가대비표!U53</f>
        <v>0</v>
      </c>
      <c r="F43" s="8">
        <f>TRUNC(D43*ROUND(E43,1), 1)</f>
        <v>0</v>
      </c>
      <c r="G43" s="11">
        <f>단가대비표!V53</f>
        <v>172068</v>
      </c>
      <c r="H43" s="8">
        <f>TRUNC(D43*ROUND(G43,1), 1)</f>
        <v>5850.3</v>
      </c>
      <c r="I43" s="11">
        <f>단가대비표!AE53</f>
        <v>0</v>
      </c>
      <c r="J43" s="8">
        <f>TRUNC(D43*ROUND(I43,1), 1)</f>
        <v>0</v>
      </c>
      <c r="K43" s="8">
        <f t="shared" si="4"/>
        <v>172068</v>
      </c>
      <c r="L43" s="8">
        <f t="shared" si="4"/>
        <v>5850.3</v>
      </c>
      <c r="M43" s="17" t="s">
        <v>646</v>
      </c>
      <c r="N43" s="1" t="s">
        <v>365</v>
      </c>
      <c r="O43" s="15" t="s">
        <v>589</v>
      </c>
      <c r="P43" s="15" t="s">
        <v>646</v>
      </c>
      <c r="Q43" s="15" t="s">
        <v>646</v>
      </c>
      <c r="R43" s="15" t="s">
        <v>276</v>
      </c>
      <c r="S43" s="20">
        <v>20</v>
      </c>
      <c r="T43" s="15" t="s">
        <v>230</v>
      </c>
      <c r="U43" s="20">
        <v>0</v>
      </c>
      <c r="V43" s="20">
        <v>1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D43" s="15" t="s">
        <v>646</v>
      </c>
      <c r="AE43" s="14" t="str">
        <f>HYPERLINK("#단가대비표!B53", "▶바로가기")</f>
        <v>▶바로가기</v>
      </c>
    </row>
    <row r="44" spans="1:31" ht="30" customHeight="1" x14ac:dyDescent="0.3">
      <c r="A44" s="21" t="s">
        <v>198</v>
      </c>
      <c r="B44" s="17" t="s">
        <v>440</v>
      </c>
      <c r="C44" s="21" t="s">
        <v>738</v>
      </c>
      <c r="D44" s="24">
        <v>1</v>
      </c>
      <c r="E44" s="8">
        <v>0</v>
      </c>
      <c r="F44" s="8">
        <f>TRUNC(D44*E44,1)</f>
        <v>0</v>
      </c>
      <c r="G44" s="8">
        <v>0</v>
      </c>
      <c r="H44" s="8">
        <f>TRUNC(D44*G44,1)</f>
        <v>0</v>
      </c>
      <c r="I44" s="8">
        <f>TRUNC(SUMIF(V42:V44, RIGHTB(O44, 1), H42:H44)*U44, 1)</f>
        <v>1267.2</v>
      </c>
      <c r="J44" s="8">
        <f>TRUNC(D44*I44,1)</f>
        <v>1267.2</v>
      </c>
      <c r="K44" s="8">
        <f t="shared" si="4"/>
        <v>1267.2</v>
      </c>
      <c r="L44" s="8">
        <f t="shared" si="4"/>
        <v>1267.2</v>
      </c>
      <c r="M44" s="17"/>
      <c r="N44" s="1" t="s">
        <v>365</v>
      </c>
      <c r="O44" s="15" t="s">
        <v>456</v>
      </c>
      <c r="P44" s="15" t="s">
        <v>646</v>
      </c>
      <c r="Q44" s="15" t="s">
        <v>646</v>
      </c>
      <c r="R44" s="15" t="s">
        <v>276</v>
      </c>
      <c r="S44" s="20">
        <v>30</v>
      </c>
      <c r="T44" s="15" t="s">
        <v>112</v>
      </c>
      <c r="U44" s="20">
        <v>0.05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D44" s="15" t="s">
        <v>646</v>
      </c>
      <c r="AE44" s="15" t="s">
        <v>646</v>
      </c>
    </row>
    <row r="45" spans="1:31" ht="30" customHeight="1" x14ac:dyDescent="0.3">
      <c r="A45" s="21" t="s">
        <v>515</v>
      </c>
      <c r="B45" s="21" t="s">
        <v>646</v>
      </c>
      <c r="C45" s="21" t="s">
        <v>646</v>
      </c>
      <c r="D45" s="21" t="s">
        <v>646</v>
      </c>
      <c r="E45" s="11">
        <v>0</v>
      </c>
      <c r="F45" s="11">
        <f>TRUNC(SUMIF(R42:R44, " ", F42:F44),0)</f>
        <v>0</v>
      </c>
      <c r="G45" s="11">
        <v>0</v>
      </c>
      <c r="H45" s="11">
        <f>TRUNC(SUMIF(R42:R44, " ", H42:H44),0)</f>
        <v>25345</v>
      </c>
      <c r="I45" s="11">
        <v>0</v>
      </c>
      <c r="J45" s="8">
        <f>TRUNC(SUMIF(R42:R44, " ", J42:J44),0)</f>
        <v>1267</v>
      </c>
      <c r="K45" s="13" t="s">
        <v>646</v>
      </c>
      <c r="L45" s="11">
        <f>F45+H45+J45</f>
        <v>26612</v>
      </c>
      <c r="M45" s="17"/>
      <c r="N45" s="6" t="s">
        <v>293</v>
      </c>
      <c r="O45" s="23" t="s">
        <v>293</v>
      </c>
    </row>
    <row r="46" spans="1:31" ht="30" customHeight="1" x14ac:dyDescent="0.3">
      <c r="A46" s="21" t="s">
        <v>646</v>
      </c>
      <c r="B46" s="21" t="s">
        <v>646</v>
      </c>
      <c r="C46" s="21" t="s">
        <v>646</v>
      </c>
      <c r="D46" s="21" t="s">
        <v>646</v>
      </c>
      <c r="E46" s="21" t="s">
        <v>646</v>
      </c>
      <c r="F46" s="21" t="s">
        <v>646</v>
      </c>
      <c r="G46" s="21" t="s">
        <v>646</v>
      </c>
      <c r="H46" s="21" t="s">
        <v>646</v>
      </c>
      <c r="I46" s="21" t="s">
        <v>646</v>
      </c>
      <c r="J46" s="21" t="s">
        <v>646</v>
      </c>
      <c r="K46" s="21" t="s">
        <v>646</v>
      </c>
      <c r="L46" s="21" t="s">
        <v>646</v>
      </c>
      <c r="M46" s="21" t="s">
        <v>646</v>
      </c>
    </row>
    <row r="47" spans="1:31" ht="30" customHeight="1" x14ac:dyDescent="0.3">
      <c r="A47" s="109" t="s">
        <v>358</v>
      </c>
      <c r="B47" s="110"/>
      <c r="C47" s="110"/>
      <c r="D47" s="110"/>
      <c r="E47" s="110"/>
      <c r="F47" s="110"/>
      <c r="G47" s="110"/>
      <c r="H47" s="110"/>
      <c r="I47" s="110"/>
      <c r="J47" s="110"/>
      <c r="K47" s="110"/>
      <c r="L47" s="110"/>
      <c r="M47" s="111"/>
      <c r="N47" s="1" t="s">
        <v>18</v>
      </c>
    </row>
    <row r="48" spans="1:31" ht="30" customHeight="1" x14ac:dyDescent="0.3">
      <c r="A48" s="21" t="s">
        <v>679</v>
      </c>
      <c r="B48" s="17" t="s">
        <v>489</v>
      </c>
      <c r="C48" s="21" t="s">
        <v>717</v>
      </c>
      <c r="D48" s="24">
        <v>5.7000000000000002E-2</v>
      </c>
      <c r="E48" s="11">
        <f>단가대비표!U58</f>
        <v>0</v>
      </c>
      <c r="F48" s="8">
        <f>TRUNC(D48*ROUND(E48,1), 1)</f>
        <v>0</v>
      </c>
      <c r="G48" s="11">
        <f>단가대비표!V58</f>
        <v>253539</v>
      </c>
      <c r="H48" s="8">
        <f>TRUNC(D48*ROUND(G48,1), 1)</f>
        <v>14451.7</v>
      </c>
      <c r="I48" s="11">
        <f>단가대비표!AE58</f>
        <v>0</v>
      </c>
      <c r="J48" s="8">
        <f>TRUNC(D48*ROUND(I48,1), 1)</f>
        <v>0</v>
      </c>
      <c r="K48" s="8">
        <f t="shared" ref="K48:L50" si="5">E48+G48+I48</f>
        <v>253539</v>
      </c>
      <c r="L48" s="8">
        <f t="shared" si="5"/>
        <v>14451.7</v>
      </c>
      <c r="M48" s="17" t="s">
        <v>646</v>
      </c>
      <c r="N48" s="1" t="s">
        <v>18</v>
      </c>
      <c r="O48" s="15" t="s">
        <v>444</v>
      </c>
      <c r="P48" s="15" t="s">
        <v>646</v>
      </c>
      <c r="Q48" s="15" t="s">
        <v>646</v>
      </c>
      <c r="R48" s="15" t="s">
        <v>276</v>
      </c>
      <c r="S48" s="20">
        <v>10</v>
      </c>
      <c r="T48" s="15" t="s">
        <v>205</v>
      </c>
      <c r="U48" s="20">
        <v>0</v>
      </c>
      <c r="V48" s="20">
        <v>1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D48" s="15" t="s">
        <v>646</v>
      </c>
      <c r="AE48" s="14" t="str">
        <f>HYPERLINK("#단가대비표!B58", "▶바로가기")</f>
        <v>▶바로가기</v>
      </c>
    </row>
    <row r="49" spans="1:31" ht="30" customHeight="1" x14ac:dyDescent="0.3">
      <c r="A49" s="21" t="s">
        <v>567</v>
      </c>
      <c r="B49" s="17" t="s">
        <v>489</v>
      </c>
      <c r="C49" s="21" t="s">
        <v>717</v>
      </c>
      <c r="D49" s="24">
        <v>2.9000000000000001E-2</v>
      </c>
      <c r="E49" s="11">
        <f>단가대비표!U53</f>
        <v>0</v>
      </c>
      <c r="F49" s="8">
        <f>TRUNC(D49*ROUND(E49,1), 1)</f>
        <v>0</v>
      </c>
      <c r="G49" s="11">
        <f>단가대비표!V53</f>
        <v>172068</v>
      </c>
      <c r="H49" s="8">
        <f>TRUNC(D49*ROUND(G49,1), 1)</f>
        <v>4989.8999999999996</v>
      </c>
      <c r="I49" s="11">
        <f>단가대비표!AE53</f>
        <v>0</v>
      </c>
      <c r="J49" s="8">
        <f>TRUNC(D49*ROUND(I49,1), 1)</f>
        <v>0</v>
      </c>
      <c r="K49" s="8">
        <f t="shared" si="5"/>
        <v>172068</v>
      </c>
      <c r="L49" s="8">
        <f t="shared" si="5"/>
        <v>4989.8999999999996</v>
      </c>
      <c r="M49" s="17" t="s">
        <v>646</v>
      </c>
      <c r="N49" s="1" t="s">
        <v>18</v>
      </c>
      <c r="O49" s="15" t="s">
        <v>589</v>
      </c>
      <c r="P49" s="15" t="s">
        <v>646</v>
      </c>
      <c r="Q49" s="15" t="s">
        <v>646</v>
      </c>
      <c r="R49" s="15" t="s">
        <v>276</v>
      </c>
      <c r="S49" s="20">
        <v>20</v>
      </c>
      <c r="T49" s="15" t="s">
        <v>619</v>
      </c>
      <c r="U49" s="20">
        <v>0</v>
      </c>
      <c r="V49" s="20">
        <v>1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D49" s="15" t="s">
        <v>646</v>
      </c>
      <c r="AE49" s="14" t="str">
        <f>HYPERLINK("#단가대비표!B53", "▶바로가기")</f>
        <v>▶바로가기</v>
      </c>
    </row>
    <row r="50" spans="1:31" ht="30" customHeight="1" x14ac:dyDescent="0.3">
      <c r="A50" s="21" t="s">
        <v>233</v>
      </c>
      <c r="B50" s="17" t="s">
        <v>440</v>
      </c>
      <c r="C50" s="21" t="s">
        <v>738</v>
      </c>
      <c r="D50" s="24">
        <v>1</v>
      </c>
      <c r="E50" s="8">
        <f>TRUNC(SUMIF(V48:V50, RIGHTB(O50, 1), H48:H50)*U50, 1)</f>
        <v>972</v>
      </c>
      <c r="F50" s="8">
        <f>TRUNC(D50*E50,1)</f>
        <v>972</v>
      </c>
      <c r="G50" s="8">
        <v>0</v>
      </c>
      <c r="H50" s="8">
        <f>TRUNC(D50*G50,1)</f>
        <v>0</v>
      </c>
      <c r="I50" s="8">
        <v>0</v>
      </c>
      <c r="J50" s="8">
        <f>TRUNC(D50*I50,1)</f>
        <v>0</v>
      </c>
      <c r="K50" s="8">
        <f t="shared" si="5"/>
        <v>972</v>
      </c>
      <c r="L50" s="8">
        <f t="shared" si="5"/>
        <v>972</v>
      </c>
      <c r="M50" s="17"/>
      <c r="N50" s="1" t="s">
        <v>18</v>
      </c>
      <c r="O50" s="15" t="s">
        <v>456</v>
      </c>
      <c r="P50" s="15" t="s">
        <v>646</v>
      </c>
      <c r="Q50" s="15" t="s">
        <v>646</v>
      </c>
      <c r="R50" s="15" t="s">
        <v>276</v>
      </c>
      <c r="S50" s="20">
        <v>30</v>
      </c>
      <c r="T50" s="15" t="s">
        <v>750</v>
      </c>
      <c r="U50" s="20">
        <v>0.05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D50" s="15" t="s">
        <v>646</v>
      </c>
      <c r="AE50" s="15" t="s">
        <v>646</v>
      </c>
    </row>
    <row r="51" spans="1:31" ht="30" customHeight="1" x14ac:dyDescent="0.3">
      <c r="A51" s="21" t="s">
        <v>515</v>
      </c>
      <c r="B51" s="21" t="s">
        <v>646</v>
      </c>
      <c r="C51" s="21" t="s">
        <v>646</v>
      </c>
      <c r="D51" s="21" t="s">
        <v>646</v>
      </c>
      <c r="E51" s="11">
        <v>0</v>
      </c>
      <c r="F51" s="11">
        <f>TRUNC(SUMIF(R48:R50, " ", F48:F50),0)</f>
        <v>972</v>
      </c>
      <c r="G51" s="11">
        <v>0</v>
      </c>
      <c r="H51" s="11">
        <f>TRUNC(SUMIF(R48:R50, " ", H48:H50),0)</f>
        <v>19441</v>
      </c>
      <c r="I51" s="11">
        <v>0</v>
      </c>
      <c r="J51" s="8">
        <f>TRUNC(SUMIF(R48:R50, " ", J48:J50),0)</f>
        <v>0</v>
      </c>
      <c r="K51" s="13" t="s">
        <v>646</v>
      </c>
      <c r="L51" s="11">
        <f>F51+H51+J51</f>
        <v>20413</v>
      </c>
      <c r="M51" s="17"/>
      <c r="N51" s="6" t="s">
        <v>293</v>
      </c>
      <c r="O51" s="23" t="s">
        <v>293</v>
      </c>
    </row>
    <row r="52" spans="1:31" ht="30" customHeight="1" x14ac:dyDescent="0.3">
      <c r="A52" s="21" t="s">
        <v>646</v>
      </c>
      <c r="B52" s="21" t="s">
        <v>646</v>
      </c>
      <c r="C52" s="21" t="s">
        <v>646</v>
      </c>
      <c r="D52" s="21" t="s">
        <v>646</v>
      </c>
      <c r="E52" s="21" t="s">
        <v>646</v>
      </c>
      <c r="F52" s="21" t="s">
        <v>646</v>
      </c>
      <c r="G52" s="21" t="s">
        <v>646</v>
      </c>
      <c r="H52" s="21" t="s">
        <v>646</v>
      </c>
      <c r="I52" s="21" t="s">
        <v>646</v>
      </c>
      <c r="J52" s="21" t="s">
        <v>646</v>
      </c>
      <c r="K52" s="21" t="s">
        <v>646</v>
      </c>
      <c r="L52" s="21" t="s">
        <v>646</v>
      </c>
      <c r="M52" s="21" t="s">
        <v>646</v>
      </c>
    </row>
    <row r="53" spans="1:31" ht="30" customHeight="1" x14ac:dyDescent="0.3">
      <c r="A53" s="109" t="s">
        <v>237</v>
      </c>
      <c r="B53" s="110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1"/>
      <c r="N53" s="1" t="s">
        <v>252</v>
      </c>
    </row>
    <row r="54" spans="1:31" ht="30" customHeight="1" x14ac:dyDescent="0.3">
      <c r="A54" s="21" t="s">
        <v>567</v>
      </c>
      <c r="B54" s="17" t="s">
        <v>489</v>
      </c>
      <c r="C54" s="21" t="s">
        <v>717</v>
      </c>
      <c r="D54" s="24">
        <v>0.08</v>
      </c>
      <c r="E54" s="11">
        <f>단가대비표!U53</f>
        <v>0</v>
      </c>
      <c r="F54" s="8">
        <f>TRUNC(D54*ROUND(E54,1), 1)</f>
        <v>0</v>
      </c>
      <c r="G54" s="11">
        <f>단가대비표!V53</f>
        <v>172068</v>
      </c>
      <c r="H54" s="8">
        <f>TRUNC(D54*ROUND(G54,1), 1)</f>
        <v>13765.4</v>
      </c>
      <c r="I54" s="11">
        <f>단가대비표!AE53</f>
        <v>0</v>
      </c>
      <c r="J54" s="8">
        <f>TRUNC(D54*ROUND(I54,1), 1)</f>
        <v>0</v>
      </c>
      <c r="K54" s="8">
        <f>E54+G54+I54</f>
        <v>172068</v>
      </c>
      <c r="L54" s="8">
        <f>F54+H54+J54</f>
        <v>13765.4</v>
      </c>
      <c r="M54" s="17" t="s">
        <v>646</v>
      </c>
      <c r="N54" s="1" t="s">
        <v>252</v>
      </c>
      <c r="O54" s="15" t="s">
        <v>589</v>
      </c>
      <c r="P54" s="15" t="s">
        <v>646</v>
      </c>
      <c r="Q54" s="15" t="s">
        <v>646</v>
      </c>
      <c r="R54" s="15" t="s">
        <v>276</v>
      </c>
      <c r="S54" s="20">
        <v>40</v>
      </c>
      <c r="T54" s="15" t="s">
        <v>646</v>
      </c>
      <c r="U54" s="20">
        <v>0</v>
      </c>
      <c r="V54" s="20">
        <v>1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D54" s="15" t="s">
        <v>646</v>
      </c>
      <c r="AE54" s="14" t="str">
        <f>HYPERLINK("#단가대비표!B53", "▶바로가기")</f>
        <v>▶바로가기</v>
      </c>
    </row>
    <row r="55" spans="1:31" ht="30" customHeight="1" x14ac:dyDescent="0.3">
      <c r="A55" s="21" t="s">
        <v>675</v>
      </c>
      <c r="B55" s="17" t="s">
        <v>498</v>
      </c>
      <c r="C55" s="21" t="s">
        <v>738</v>
      </c>
      <c r="D55" s="24">
        <v>1</v>
      </c>
      <c r="E55" s="8">
        <f>TRUNC(SUMIF(V54:V55, RIGHTB(O55, 1), H54:H55)*U55, 1)</f>
        <v>688.2</v>
      </c>
      <c r="F55" s="8">
        <f>TRUNC(D55*E55,1)</f>
        <v>688.2</v>
      </c>
      <c r="G55" s="8">
        <v>0</v>
      </c>
      <c r="H55" s="8">
        <f>TRUNC(D55*G55,1)</f>
        <v>0</v>
      </c>
      <c r="I55" s="8">
        <v>0</v>
      </c>
      <c r="J55" s="8">
        <f>TRUNC(D55*I55,1)</f>
        <v>0</v>
      </c>
      <c r="K55" s="8">
        <f>E55+G55+I55</f>
        <v>688.2</v>
      </c>
      <c r="L55" s="8">
        <f>F55+H55+J55</f>
        <v>688.2</v>
      </c>
      <c r="M55" s="17" t="s">
        <v>646</v>
      </c>
      <c r="N55" s="1" t="s">
        <v>252</v>
      </c>
      <c r="O55" s="15" t="s">
        <v>456</v>
      </c>
      <c r="P55" s="15" t="s">
        <v>646</v>
      </c>
      <c r="Q55" s="15" t="s">
        <v>646</v>
      </c>
      <c r="R55" s="15" t="s">
        <v>276</v>
      </c>
      <c r="S55" s="20">
        <v>50</v>
      </c>
      <c r="T55" s="15" t="s">
        <v>214</v>
      </c>
      <c r="U55" s="20">
        <v>0.05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D55" s="15" t="s">
        <v>646</v>
      </c>
      <c r="AE55" s="15" t="s">
        <v>646</v>
      </c>
    </row>
    <row r="56" spans="1:31" ht="30" customHeight="1" x14ac:dyDescent="0.3">
      <c r="A56" s="21" t="s">
        <v>515</v>
      </c>
      <c r="B56" s="21" t="s">
        <v>646</v>
      </c>
      <c r="C56" s="21" t="s">
        <v>646</v>
      </c>
      <c r="D56" s="21" t="s">
        <v>646</v>
      </c>
      <c r="E56" s="11">
        <v>0</v>
      </c>
      <c r="F56" s="11">
        <f>TRUNC(SUMIF(R54:R55, " ", F54:F55),0)</f>
        <v>688</v>
      </c>
      <c r="G56" s="11">
        <v>0</v>
      </c>
      <c r="H56" s="11">
        <f>TRUNC(SUMIF(R54:R55, " ", H54:H55),0)</f>
        <v>13765</v>
      </c>
      <c r="I56" s="11">
        <v>0</v>
      </c>
      <c r="J56" s="8">
        <f>TRUNC(SUMIF(R54:R55, " ", J54:J55),0)</f>
        <v>0</v>
      </c>
      <c r="K56" s="13" t="s">
        <v>646</v>
      </c>
      <c r="L56" s="11">
        <f>F56+H56+J56</f>
        <v>14453</v>
      </c>
      <c r="M56" s="17"/>
      <c r="N56" s="6" t="s">
        <v>293</v>
      </c>
      <c r="O56" s="23" t="s">
        <v>293</v>
      </c>
    </row>
    <row r="57" spans="1:31" ht="30" customHeight="1" x14ac:dyDescent="0.3">
      <c r="A57" s="21" t="s">
        <v>646</v>
      </c>
      <c r="B57" s="21" t="s">
        <v>646</v>
      </c>
      <c r="C57" s="21" t="s">
        <v>646</v>
      </c>
      <c r="D57" s="21" t="s">
        <v>646</v>
      </c>
      <c r="E57" s="21" t="s">
        <v>646</v>
      </c>
      <c r="F57" s="21" t="s">
        <v>646</v>
      </c>
      <c r="G57" s="21" t="s">
        <v>646</v>
      </c>
      <c r="H57" s="21" t="s">
        <v>646</v>
      </c>
      <c r="I57" s="21" t="s">
        <v>646</v>
      </c>
      <c r="J57" s="21" t="s">
        <v>646</v>
      </c>
      <c r="K57" s="21" t="s">
        <v>646</v>
      </c>
      <c r="L57" s="21" t="s">
        <v>646</v>
      </c>
      <c r="M57" s="21" t="s">
        <v>646</v>
      </c>
    </row>
    <row r="58" spans="1:31" ht="30" customHeight="1" x14ac:dyDescent="0.3">
      <c r="A58" s="109" t="s">
        <v>347</v>
      </c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1"/>
      <c r="N58" s="1" t="s">
        <v>548</v>
      </c>
    </row>
    <row r="59" spans="1:31" ht="30" customHeight="1" x14ac:dyDescent="0.3">
      <c r="A59" s="21" t="s">
        <v>93</v>
      </c>
      <c r="B59" s="17" t="s">
        <v>489</v>
      </c>
      <c r="C59" s="21" t="s">
        <v>717</v>
      </c>
      <c r="D59" s="24">
        <v>1.4E-2</v>
      </c>
      <c r="E59" s="11">
        <f>단가대비표!U54</f>
        <v>0</v>
      </c>
      <c r="F59" s="8">
        <f>TRUNC(D59*ROUND(E59,1), 1)</f>
        <v>0</v>
      </c>
      <c r="G59" s="11">
        <f>단가대비표!V54</f>
        <v>226122</v>
      </c>
      <c r="H59" s="8">
        <f>TRUNC(D59*ROUND(G59,1), 1)</f>
        <v>3165.7</v>
      </c>
      <c r="I59" s="11">
        <f>단가대비표!AE54</f>
        <v>0</v>
      </c>
      <c r="J59" s="8">
        <f>TRUNC(D59*ROUND(I59,1), 1)</f>
        <v>0</v>
      </c>
      <c r="K59" s="8">
        <f>E59+G59+I59</f>
        <v>226122</v>
      </c>
      <c r="L59" s="8">
        <f>F59+H59+J59</f>
        <v>3165.7</v>
      </c>
      <c r="M59" s="17" t="s">
        <v>646</v>
      </c>
      <c r="N59" s="1" t="s">
        <v>548</v>
      </c>
      <c r="O59" s="15" t="s">
        <v>497</v>
      </c>
      <c r="P59" s="15" t="s">
        <v>646</v>
      </c>
      <c r="Q59" s="15" t="s">
        <v>646</v>
      </c>
      <c r="R59" s="15" t="s">
        <v>276</v>
      </c>
      <c r="S59" s="20">
        <v>10</v>
      </c>
      <c r="T59" s="15" t="s">
        <v>348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D59" s="15" t="s">
        <v>646</v>
      </c>
      <c r="AE59" s="14" t="str">
        <f>HYPERLINK("#단가대비표!B54", "▶바로가기")</f>
        <v>▶바로가기</v>
      </c>
    </row>
    <row r="60" spans="1:31" ht="30" customHeight="1" x14ac:dyDescent="0.3">
      <c r="A60" s="21" t="s">
        <v>567</v>
      </c>
      <c r="B60" s="17" t="s">
        <v>489</v>
      </c>
      <c r="C60" s="21" t="s">
        <v>717</v>
      </c>
      <c r="D60" s="24">
        <v>0.01</v>
      </c>
      <c r="E60" s="11">
        <f>단가대비표!U53</f>
        <v>0</v>
      </c>
      <c r="F60" s="8">
        <f>TRUNC(D60*ROUND(E60,1), 1)</f>
        <v>0</v>
      </c>
      <c r="G60" s="11">
        <f>단가대비표!V53</f>
        <v>172068</v>
      </c>
      <c r="H60" s="8">
        <f>TRUNC(D60*ROUND(G60,1), 1)</f>
        <v>1720.6</v>
      </c>
      <c r="I60" s="11">
        <f>단가대비표!AE53</f>
        <v>0</v>
      </c>
      <c r="J60" s="8">
        <f>TRUNC(D60*ROUND(I60,1), 1)</f>
        <v>0</v>
      </c>
      <c r="K60" s="8">
        <f>E60+G60+I60</f>
        <v>172068</v>
      </c>
      <c r="L60" s="8">
        <f>F60+H60+J60</f>
        <v>1720.6</v>
      </c>
      <c r="M60" s="17" t="s">
        <v>646</v>
      </c>
      <c r="N60" s="1" t="s">
        <v>548</v>
      </c>
      <c r="O60" s="15" t="s">
        <v>589</v>
      </c>
      <c r="P60" s="15" t="s">
        <v>646</v>
      </c>
      <c r="Q60" s="15" t="s">
        <v>646</v>
      </c>
      <c r="R60" s="15" t="s">
        <v>276</v>
      </c>
      <c r="S60" s="20">
        <v>20</v>
      </c>
      <c r="T60" s="15" t="s">
        <v>159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D60" s="15" t="s">
        <v>646</v>
      </c>
      <c r="AE60" s="14" t="str">
        <f>HYPERLINK("#단가대비표!B53", "▶바로가기")</f>
        <v>▶바로가기</v>
      </c>
    </row>
    <row r="61" spans="1:31" ht="30" customHeight="1" x14ac:dyDescent="0.3">
      <c r="A61" s="21" t="s">
        <v>515</v>
      </c>
      <c r="B61" s="21" t="s">
        <v>646</v>
      </c>
      <c r="C61" s="21" t="s">
        <v>646</v>
      </c>
      <c r="D61" s="21" t="s">
        <v>646</v>
      </c>
      <c r="E61" s="11">
        <v>0</v>
      </c>
      <c r="F61" s="11">
        <f>TRUNC(SUMIF(R59:R60, " ", F59:F60),0)</f>
        <v>0</v>
      </c>
      <c r="G61" s="11">
        <v>0</v>
      </c>
      <c r="H61" s="11">
        <f>TRUNC(SUMIF(R59:R60, " ", H59:H60),0)</f>
        <v>4886</v>
      </c>
      <c r="I61" s="11">
        <v>0</v>
      </c>
      <c r="J61" s="8">
        <f>TRUNC(SUMIF(R59:R60, " ", J59:J60),0)</f>
        <v>0</v>
      </c>
      <c r="K61" s="13" t="s">
        <v>646</v>
      </c>
      <c r="L61" s="11">
        <f>F61+H61+J61</f>
        <v>4886</v>
      </c>
      <c r="M61" s="17"/>
      <c r="N61" s="6" t="s">
        <v>293</v>
      </c>
      <c r="O61" s="23" t="s">
        <v>293</v>
      </c>
    </row>
    <row r="62" spans="1:31" ht="30" customHeight="1" x14ac:dyDescent="0.3">
      <c r="A62" s="21" t="s">
        <v>646</v>
      </c>
      <c r="B62" s="21" t="s">
        <v>646</v>
      </c>
      <c r="C62" s="21" t="s">
        <v>646</v>
      </c>
      <c r="D62" s="21" t="s">
        <v>646</v>
      </c>
      <c r="E62" s="21" t="s">
        <v>646</v>
      </c>
      <c r="F62" s="21" t="s">
        <v>646</v>
      </c>
      <c r="G62" s="21" t="s">
        <v>646</v>
      </c>
      <c r="H62" s="21" t="s">
        <v>646</v>
      </c>
      <c r="I62" s="21" t="s">
        <v>646</v>
      </c>
      <c r="J62" s="21" t="s">
        <v>646</v>
      </c>
      <c r="K62" s="21" t="s">
        <v>646</v>
      </c>
      <c r="L62" s="21" t="s">
        <v>646</v>
      </c>
      <c r="M62" s="21" t="s">
        <v>646</v>
      </c>
    </row>
    <row r="63" spans="1:31" ht="30" customHeight="1" x14ac:dyDescent="0.3">
      <c r="A63" s="109" t="s">
        <v>634</v>
      </c>
      <c r="B63" s="110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1"/>
      <c r="N63" s="1" t="s">
        <v>511</v>
      </c>
    </row>
    <row r="64" spans="1:31" ht="30" customHeight="1" x14ac:dyDescent="0.3">
      <c r="A64" s="21" t="s">
        <v>567</v>
      </c>
      <c r="B64" s="17" t="s">
        <v>489</v>
      </c>
      <c r="C64" s="21" t="s">
        <v>717</v>
      </c>
      <c r="D64" s="24">
        <v>0.02</v>
      </c>
      <c r="E64" s="11">
        <f>단가대비표!U53</f>
        <v>0</v>
      </c>
      <c r="F64" s="8">
        <f>TRUNC(D64*ROUND(E64,1), 1)</f>
        <v>0</v>
      </c>
      <c r="G64" s="11">
        <f>단가대비표!V53</f>
        <v>172068</v>
      </c>
      <c r="H64" s="8">
        <f>TRUNC(D64*ROUND(G64,1), 1)</f>
        <v>3441.3</v>
      </c>
      <c r="I64" s="11">
        <f>단가대비표!AE53</f>
        <v>0</v>
      </c>
      <c r="J64" s="8">
        <f>TRUNC(D64*ROUND(I64,1), 1)</f>
        <v>0</v>
      </c>
      <c r="K64" s="8">
        <f>E64+G64+I64</f>
        <v>172068</v>
      </c>
      <c r="L64" s="8">
        <f>F64+H64+J64</f>
        <v>3441.3</v>
      </c>
      <c r="M64" s="17" t="s">
        <v>646</v>
      </c>
      <c r="N64" s="1" t="s">
        <v>511</v>
      </c>
      <c r="O64" s="15" t="s">
        <v>589</v>
      </c>
      <c r="P64" s="15" t="s">
        <v>646</v>
      </c>
      <c r="Q64" s="15" t="s">
        <v>646</v>
      </c>
      <c r="R64" s="15" t="s">
        <v>276</v>
      </c>
      <c r="S64" s="20">
        <v>10</v>
      </c>
      <c r="T64" s="15" t="s">
        <v>646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D64" s="15" t="s">
        <v>646</v>
      </c>
      <c r="AE64" s="14" t="str">
        <f>HYPERLINK("#단가대비표!B53", "▶바로가기")</f>
        <v>▶바로가기</v>
      </c>
    </row>
    <row r="65" spans="1:31" ht="30" customHeight="1" x14ac:dyDescent="0.3">
      <c r="A65" s="21" t="s">
        <v>515</v>
      </c>
      <c r="B65" s="21" t="s">
        <v>646</v>
      </c>
      <c r="C65" s="21" t="s">
        <v>646</v>
      </c>
      <c r="D65" s="21" t="s">
        <v>646</v>
      </c>
      <c r="E65" s="11">
        <v>0</v>
      </c>
      <c r="F65" s="11">
        <f>TRUNC(SUMIF(R64:R64, " ", F64:F64),0)</f>
        <v>0</v>
      </c>
      <c r="G65" s="11">
        <v>0</v>
      </c>
      <c r="H65" s="11">
        <f>TRUNC(SUMIF(R64:R64, " ", H64:H64),0)</f>
        <v>3441</v>
      </c>
      <c r="I65" s="11">
        <v>0</v>
      </c>
      <c r="J65" s="8">
        <f>TRUNC(SUMIF(R64:R64, " ", J64:J64),0)</f>
        <v>0</v>
      </c>
      <c r="K65" s="13" t="s">
        <v>646</v>
      </c>
      <c r="L65" s="11">
        <f>F65+H65+J65</f>
        <v>3441</v>
      </c>
      <c r="M65" s="17"/>
      <c r="N65" s="6" t="s">
        <v>293</v>
      </c>
      <c r="O65" s="23" t="s">
        <v>293</v>
      </c>
    </row>
    <row r="66" spans="1:31" ht="30" customHeight="1" x14ac:dyDescent="0.3">
      <c r="A66" s="21" t="s">
        <v>646</v>
      </c>
      <c r="B66" s="21" t="s">
        <v>646</v>
      </c>
      <c r="C66" s="21" t="s">
        <v>646</v>
      </c>
      <c r="D66" s="21" t="s">
        <v>646</v>
      </c>
      <c r="E66" s="21" t="s">
        <v>646</v>
      </c>
      <c r="F66" s="21" t="s">
        <v>646</v>
      </c>
      <c r="G66" s="21" t="s">
        <v>646</v>
      </c>
      <c r="H66" s="21" t="s">
        <v>646</v>
      </c>
      <c r="I66" s="21" t="s">
        <v>646</v>
      </c>
      <c r="J66" s="21" t="s">
        <v>646</v>
      </c>
      <c r="K66" s="21" t="s">
        <v>646</v>
      </c>
      <c r="L66" s="21" t="s">
        <v>646</v>
      </c>
      <c r="M66" s="21" t="s">
        <v>646</v>
      </c>
    </row>
    <row r="67" spans="1:31" ht="30" customHeight="1" x14ac:dyDescent="0.3">
      <c r="A67" s="109" t="s">
        <v>65</v>
      </c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1"/>
      <c r="N67" s="1" t="s">
        <v>328</v>
      </c>
    </row>
    <row r="68" spans="1:31" ht="30" customHeight="1" x14ac:dyDescent="0.3">
      <c r="A68" s="21" t="s">
        <v>536</v>
      </c>
      <c r="B68" s="17" t="s">
        <v>220</v>
      </c>
      <c r="C68" s="21" t="s">
        <v>165</v>
      </c>
      <c r="D68" s="24">
        <v>1.1503000000000001</v>
      </c>
      <c r="E68" s="11">
        <f>단가대비표!U11</f>
        <v>2358</v>
      </c>
      <c r="F68" s="8">
        <f>TRUNC(D68*ROUND(E68,1), 1)</f>
        <v>2712.4</v>
      </c>
      <c r="G68" s="11">
        <f>단가대비표!V11</f>
        <v>0</v>
      </c>
      <c r="H68" s="8">
        <f>TRUNC(D68*ROUND(G68,1), 1)</f>
        <v>0</v>
      </c>
      <c r="I68" s="11">
        <f>단가대비표!AE11</f>
        <v>0</v>
      </c>
      <c r="J68" s="8">
        <f>TRUNC(D68*ROUND(I68,1), 1)</f>
        <v>0</v>
      </c>
      <c r="K68" s="8">
        <f t="shared" ref="K68:L70" si="6">E68+G68+I68</f>
        <v>2358</v>
      </c>
      <c r="L68" s="8">
        <f t="shared" si="6"/>
        <v>2712.4</v>
      </c>
      <c r="M68" s="17" t="s">
        <v>646</v>
      </c>
      <c r="N68" s="1" t="s">
        <v>328</v>
      </c>
      <c r="O68" s="15" t="s">
        <v>351</v>
      </c>
      <c r="P68" s="15" t="s">
        <v>646</v>
      </c>
      <c r="Q68" s="15" t="s">
        <v>646</v>
      </c>
      <c r="R68" s="15" t="s">
        <v>276</v>
      </c>
      <c r="S68" s="20">
        <v>10</v>
      </c>
      <c r="T68" s="15" t="s">
        <v>646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D68" s="15" t="s">
        <v>646</v>
      </c>
      <c r="AE68" s="14" t="str">
        <f>HYPERLINK("#단가대비표!B11", "▶바로가기")</f>
        <v>▶바로가기</v>
      </c>
    </row>
    <row r="69" spans="1:31" ht="30" customHeight="1" x14ac:dyDescent="0.3">
      <c r="A69" s="21" t="s">
        <v>488</v>
      </c>
      <c r="B69" s="17" t="s">
        <v>588</v>
      </c>
      <c r="C69" s="21" t="s">
        <v>107</v>
      </c>
      <c r="D69" s="24">
        <v>0.03</v>
      </c>
      <c r="E69" s="11">
        <f>단가대비표!U25</f>
        <v>1387</v>
      </c>
      <c r="F69" s="8">
        <f>TRUNC(D69*ROUND(E69,1), 1)</f>
        <v>41.6</v>
      </c>
      <c r="G69" s="11">
        <f>단가대비표!V25</f>
        <v>0</v>
      </c>
      <c r="H69" s="8">
        <f>TRUNC(D69*ROUND(G69,1), 1)</f>
        <v>0</v>
      </c>
      <c r="I69" s="11">
        <f>단가대비표!AE25</f>
        <v>0</v>
      </c>
      <c r="J69" s="8">
        <f>TRUNC(D69*ROUND(I69,1), 1)</f>
        <v>0</v>
      </c>
      <c r="K69" s="8">
        <f t="shared" si="6"/>
        <v>1387</v>
      </c>
      <c r="L69" s="8">
        <f t="shared" si="6"/>
        <v>41.6</v>
      </c>
      <c r="M69" s="17" t="s">
        <v>646</v>
      </c>
      <c r="N69" s="1" t="s">
        <v>328</v>
      </c>
      <c r="O69" s="15" t="s">
        <v>424</v>
      </c>
      <c r="P69" s="15" t="s">
        <v>646</v>
      </c>
      <c r="Q69" s="15" t="s">
        <v>646</v>
      </c>
      <c r="R69" s="15" t="s">
        <v>276</v>
      </c>
      <c r="S69" s="20">
        <v>15</v>
      </c>
      <c r="T69" s="15" t="s">
        <v>693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D69" s="15" t="s">
        <v>646</v>
      </c>
      <c r="AE69" s="14" t="str">
        <f>HYPERLINK("#단가대비표!B25", "▶바로가기")</f>
        <v>▶바로가기</v>
      </c>
    </row>
    <row r="70" spans="1:31" ht="30" customHeight="1" x14ac:dyDescent="0.3">
      <c r="A70" s="21" t="s">
        <v>27</v>
      </c>
      <c r="B70" s="17" t="s">
        <v>534</v>
      </c>
      <c r="C70" s="21" t="s">
        <v>128</v>
      </c>
      <c r="D70" s="24">
        <v>1</v>
      </c>
      <c r="E70" s="11">
        <f>일위대가목록!E26</f>
        <v>194</v>
      </c>
      <c r="F70" s="8">
        <f>TRUNC(D70*E70,1)</f>
        <v>194</v>
      </c>
      <c r="G70" s="11">
        <f>일위대가목록!F26</f>
        <v>9733</v>
      </c>
      <c r="H70" s="8">
        <f>TRUNC(D70*G70,1)</f>
        <v>9733</v>
      </c>
      <c r="I70" s="11">
        <f>일위대가목록!G26</f>
        <v>0</v>
      </c>
      <c r="J70" s="8">
        <f>TRUNC(D70*I70,1)</f>
        <v>0</v>
      </c>
      <c r="K70" s="8">
        <f t="shared" si="6"/>
        <v>9927</v>
      </c>
      <c r="L70" s="8">
        <f t="shared" si="6"/>
        <v>9927</v>
      </c>
      <c r="M70" s="17"/>
      <c r="N70" s="1" t="s">
        <v>328</v>
      </c>
      <c r="O70" s="15" t="s">
        <v>558</v>
      </c>
      <c r="P70" s="15" t="s">
        <v>646</v>
      </c>
      <c r="Q70" s="15" t="s">
        <v>646</v>
      </c>
      <c r="R70" s="15" t="s">
        <v>276</v>
      </c>
      <c r="S70" s="20">
        <v>20</v>
      </c>
      <c r="T70" s="15" t="s">
        <v>646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D70" s="15" t="s">
        <v>646</v>
      </c>
      <c r="AE70" s="14" t="str">
        <f>HYPERLINK("#일위대가!B135", "▶바로가기")</f>
        <v>▶바로가기</v>
      </c>
    </row>
    <row r="71" spans="1:31" ht="30" customHeight="1" x14ac:dyDescent="0.3">
      <c r="A71" s="21" t="s">
        <v>515</v>
      </c>
      <c r="B71" s="21" t="s">
        <v>646</v>
      </c>
      <c r="C71" s="21" t="s">
        <v>646</v>
      </c>
      <c r="D71" s="21" t="s">
        <v>646</v>
      </c>
      <c r="E71" s="11">
        <v>0</v>
      </c>
      <c r="F71" s="11">
        <f>TRUNC(SUMIF(R68:R70, " ", F68:F70),0)</f>
        <v>2948</v>
      </c>
      <c r="G71" s="11">
        <v>0</v>
      </c>
      <c r="H71" s="11">
        <f>TRUNC(SUMIF(R68:R70, " ", H68:H70),0)</f>
        <v>9733</v>
      </c>
      <c r="I71" s="11">
        <v>0</v>
      </c>
      <c r="J71" s="8">
        <f>TRUNC(SUMIF(R68:R70, " ", J68:J70),0)</f>
        <v>0</v>
      </c>
      <c r="K71" s="13" t="s">
        <v>646</v>
      </c>
      <c r="L71" s="11">
        <f>F71+H71+J71</f>
        <v>12681</v>
      </c>
      <c r="M71" s="17"/>
      <c r="N71" s="6" t="s">
        <v>293</v>
      </c>
      <c r="O71" s="23" t="s">
        <v>293</v>
      </c>
    </row>
    <row r="72" spans="1:31" ht="30" customHeight="1" x14ac:dyDescent="0.3">
      <c r="A72" s="21" t="s">
        <v>646</v>
      </c>
      <c r="B72" s="21" t="s">
        <v>646</v>
      </c>
      <c r="C72" s="21" t="s">
        <v>646</v>
      </c>
      <c r="D72" s="21" t="s">
        <v>646</v>
      </c>
      <c r="E72" s="21" t="s">
        <v>646</v>
      </c>
      <c r="F72" s="21" t="s">
        <v>646</v>
      </c>
      <c r="G72" s="21" t="s">
        <v>646</v>
      </c>
      <c r="H72" s="21" t="s">
        <v>646</v>
      </c>
      <c r="I72" s="21" t="s">
        <v>646</v>
      </c>
      <c r="J72" s="21" t="s">
        <v>646</v>
      </c>
      <c r="K72" s="21" t="s">
        <v>646</v>
      </c>
      <c r="L72" s="21" t="s">
        <v>646</v>
      </c>
      <c r="M72" s="21" t="s">
        <v>646</v>
      </c>
    </row>
    <row r="73" spans="1:31" ht="30" customHeight="1" x14ac:dyDescent="0.3">
      <c r="A73" s="109" t="s">
        <v>79</v>
      </c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1"/>
      <c r="N73" s="1" t="s">
        <v>474</v>
      </c>
    </row>
    <row r="74" spans="1:31" ht="30" customHeight="1" x14ac:dyDescent="0.3">
      <c r="A74" s="21" t="s">
        <v>506</v>
      </c>
      <c r="B74" s="17" t="s">
        <v>613</v>
      </c>
      <c r="C74" s="21" t="s">
        <v>128</v>
      </c>
      <c r="D74" s="24">
        <v>1.03</v>
      </c>
      <c r="E74" s="11">
        <f>단가대비표!U6</f>
        <v>4448</v>
      </c>
      <c r="F74" s="8">
        <f>TRUNC(D74*ROUND(E74,1), 1)</f>
        <v>4581.3999999999996</v>
      </c>
      <c r="G74" s="11">
        <f>단가대비표!V6</f>
        <v>0</v>
      </c>
      <c r="H74" s="8">
        <f>TRUNC(D74*ROUND(G74,1), 1)</f>
        <v>0</v>
      </c>
      <c r="I74" s="11">
        <f>단가대비표!AE6</f>
        <v>0</v>
      </c>
      <c r="J74" s="8">
        <f>TRUNC(D74*ROUND(I74,1), 1)</f>
        <v>0</v>
      </c>
      <c r="K74" s="8">
        <f t="shared" ref="K74:L76" si="7">E74+G74+I74</f>
        <v>4448</v>
      </c>
      <c r="L74" s="8">
        <f t="shared" si="7"/>
        <v>4581.3999999999996</v>
      </c>
      <c r="M74" s="17" t="s">
        <v>646</v>
      </c>
      <c r="N74" s="1" t="s">
        <v>474</v>
      </c>
      <c r="O74" s="15" t="s">
        <v>774</v>
      </c>
      <c r="P74" s="15" t="s">
        <v>646</v>
      </c>
      <c r="Q74" s="15" t="s">
        <v>646</v>
      </c>
      <c r="R74" s="15" t="s">
        <v>276</v>
      </c>
      <c r="S74" s="20">
        <v>10</v>
      </c>
      <c r="T74" s="15" t="s">
        <v>646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D74" s="15" t="s">
        <v>646</v>
      </c>
      <c r="AE74" s="14" t="str">
        <f>HYPERLINK("#단가대비표!B6", "▶바로가기")</f>
        <v>▶바로가기</v>
      </c>
    </row>
    <row r="75" spans="1:31" ht="30" customHeight="1" x14ac:dyDescent="0.3">
      <c r="A75" s="21" t="s">
        <v>488</v>
      </c>
      <c r="B75" s="17" t="s">
        <v>588</v>
      </c>
      <c r="C75" s="21" t="s">
        <v>107</v>
      </c>
      <c r="D75" s="24">
        <v>0.04</v>
      </c>
      <c r="E75" s="11">
        <f>단가대비표!U25</f>
        <v>1387</v>
      </c>
      <c r="F75" s="8">
        <f>TRUNC(D75*ROUND(E75,1), 1)</f>
        <v>55.4</v>
      </c>
      <c r="G75" s="11">
        <f>단가대비표!V25</f>
        <v>0</v>
      </c>
      <c r="H75" s="8">
        <f>TRUNC(D75*ROUND(G75,1), 1)</f>
        <v>0</v>
      </c>
      <c r="I75" s="11">
        <f>단가대비표!AE25</f>
        <v>0</v>
      </c>
      <c r="J75" s="8">
        <f>TRUNC(D75*ROUND(I75,1), 1)</f>
        <v>0</v>
      </c>
      <c r="K75" s="8">
        <f t="shared" si="7"/>
        <v>1387</v>
      </c>
      <c r="L75" s="8">
        <f t="shared" si="7"/>
        <v>55.4</v>
      </c>
      <c r="M75" s="17" t="s">
        <v>646</v>
      </c>
      <c r="N75" s="1" t="s">
        <v>474</v>
      </c>
      <c r="O75" s="15" t="s">
        <v>424</v>
      </c>
      <c r="P75" s="15" t="s">
        <v>646</v>
      </c>
      <c r="Q75" s="15" t="s">
        <v>646</v>
      </c>
      <c r="R75" s="15" t="s">
        <v>276</v>
      </c>
      <c r="S75" s="20">
        <v>15</v>
      </c>
      <c r="T75" s="15" t="s">
        <v>140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D75" s="15" t="s">
        <v>646</v>
      </c>
      <c r="AE75" s="14" t="str">
        <f>HYPERLINK("#단가대비표!B25", "▶바로가기")</f>
        <v>▶바로가기</v>
      </c>
    </row>
    <row r="76" spans="1:31" ht="30" customHeight="1" x14ac:dyDescent="0.3">
      <c r="A76" s="21" t="s">
        <v>287</v>
      </c>
      <c r="B76" s="17" t="s">
        <v>206</v>
      </c>
      <c r="C76" s="21" t="s">
        <v>128</v>
      </c>
      <c r="D76" s="24">
        <v>1</v>
      </c>
      <c r="E76" s="11">
        <f>일위대가목록!E27</f>
        <v>363</v>
      </c>
      <c r="F76" s="8">
        <f>TRUNC(D76*E76,1)</f>
        <v>363</v>
      </c>
      <c r="G76" s="11">
        <f>일위대가목록!F27</f>
        <v>18183</v>
      </c>
      <c r="H76" s="8">
        <f>TRUNC(D76*G76,1)</f>
        <v>18183</v>
      </c>
      <c r="I76" s="11">
        <f>일위대가목록!G27</f>
        <v>0</v>
      </c>
      <c r="J76" s="8">
        <f>TRUNC(D76*I76,1)</f>
        <v>0</v>
      </c>
      <c r="K76" s="8">
        <f t="shared" si="7"/>
        <v>18546</v>
      </c>
      <c r="L76" s="8">
        <f t="shared" si="7"/>
        <v>18546</v>
      </c>
      <c r="M76" s="17"/>
      <c r="N76" s="1" t="s">
        <v>474</v>
      </c>
      <c r="O76" s="15" t="s">
        <v>407</v>
      </c>
      <c r="P76" s="15" t="s">
        <v>646</v>
      </c>
      <c r="Q76" s="15" t="s">
        <v>646</v>
      </c>
      <c r="R76" s="15" t="s">
        <v>276</v>
      </c>
      <c r="S76" s="20">
        <v>20</v>
      </c>
      <c r="T76" s="15" t="s">
        <v>646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D76" s="15" t="s">
        <v>646</v>
      </c>
      <c r="AE76" s="14" t="str">
        <f>HYPERLINK("#일위대가!B141", "▶바로가기")</f>
        <v>▶바로가기</v>
      </c>
    </row>
    <row r="77" spans="1:31" ht="30" customHeight="1" x14ac:dyDescent="0.3">
      <c r="A77" s="21" t="s">
        <v>515</v>
      </c>
      <c r="B77" s="21" t="s">
        <v>646</v>
      </c>
      <c r="C77" s="21" t="s">
        <v>646</v>
      </c>
      <c r="D77" s="21" t="s">
        <v>646</v>
      </c>
      <c r="E77" s="11">
        <v>0</v>
      </c>
      <c r="F77" s="11">
        <f>TRUNC(SUMIF(R74:R76, " ", F74:F76),0)</f>
        <v>4999</v>
      </c>
      <c r="G77" s="11">
        <v>0</v>
      </c>
      <c r="H77" s="11">
        <f>TRUNC(SUMIF(R74:R76, " ", H74:H76),0)</f>
        <v>18183</v>
      </c>
      <c r="I77" s="11">
        <v>0</v>
      </c>
      <c r="J77" s="8">
        <f>TRUNC(SUMIF(R74:R76, " ", J74:J76),0)</f>
        <v>0</v>
      </c>
      <c r="K77" s="13" t="s">
        <v>646</v>
      </c>
      <c r="L77" s="11">
        <f>F77+H77+J77</f>
        <v>23182</v>
      </c>
      <c r="M77" s="17"/>
      <c r="N77" s="6" t="s">
        <v>293</v>
      </c>
      <c r="O77" s="23" t="s">
        <v>293</v>
      </c>
    </row>
    <row r="78" spans="1:31" ht="30" customHeight="1" x14ac:dyDescent="0.3">
      <c r="A78" s="21" t="s">
        <v>646</v>
      </c>
      <c r="B78" s="21" t="s">
        <v>646</v>
      </c>
      <c r="C78" s="21" t="s">
        <v>646</v>
      </c>
      <c r="D78" s="21" t="s">
        <v>646</v>
      </c>
      <c r="E78" s="21" t="s">
        <v>646</v>
      </c>
      <c r="F78" s="21" t="s">
        <v>646</v>
      </c>
      <c r="G78" s="21" t="s">
        <v>646</v>
      </c>
      <c r="H78" s="21" t="s">
        <v>646</v>
      </c>
      <c r="I78" s="21" t="s">
        <v>646</v>
      </c>
      <c r="J78" s="21" t="s">
        <v>646</v>
      </c>
      <c r="K78" s="21" t="s">
        <v>646</v>
      </c>
      <c r="L78" s="21" t="s">
        <v>646</v>
      </c>
      <c r="M78" s="21" t="s">
        <v>646</v>
      </c>
    </row>
    <row r="79" spans="1:31" ht="30" customHeight="1" x14ac:dyDescent="0.3">
      <c r="A79" s="109" t="s">
        <v>164</v>
      </c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1"/>
      <c r="N79" s="1" t="s">
        <v>73</v>
      </c>
    </row>
    <row r="80" spans="1:31" ht="30" customHeight="1" x14ac:dyDescent="0.3">
      <c r="A80" s="21" t="s">
        <v>419</v>
      </c>
      <c r="B80" s="17" t="s">
        <v>469</v>
      </c>
      <c r="C80" s="21" t="s">
        <v>128</v>
      </c>
      <c r="D80" s="24">
        <v>1.03</v>
      </c>
      <c r="E80" s="11">
        <f>단가대비표!U7</f>
        <v>5673</v>
      </c>
      <c r="F80" s="8">
        <f>TRUNC(D80*ROUND(E80,1), 1)</f>
        <v>5843.1</v>
      </c>
      <c r="G80" s="11">
        <f>단가대비표!V7</f>
        <v>0</v>
      </c>
      <c r="H80" s="8">
        <f>TRUNC(D80*ROUND(G80,1), 1)</f>
        <v>0</v>
      </c>
      <c r="I80" s="11">
        <f>단가대비표!AE7</f>
        <v>0</v>
      </c>
      <c r="J80" s="8">
        <f>TRUNC(D80*ROUND(I80,1), 1)</f>
        <v>0</v>
      </c>
      <c r="K80" s="8">
        <f t="shared" ref="K80:L82" si="8">E80+G80+I80</f>
        <v>5673</v>
      </c>
      <c r="L80" s="8">
        <f t="shared" si="8"/>
        <v>5843.1</v>
      </c>
      <c r="M80" s="17" t="s">
        <v>646</v>
      </c>
      <c r="N80" s="1" t="s">
        <v>73</v>
      </c>
      <c r="O80" s="15" t="s">
        <v>462</v>
      </c>
      <c r="P80" s="15" t="s">
        <v>646</v>
      </c>
      <c r="Q80" s="15" t="s">
        <v>646</v>
      </c>
      <c r="R80" s="15" t="s">
        <v>276</v>
      </c>
      <c r="S80" s="20">
        <v>10</v>
      </c>
      <c r="T80" s="15" t="s">
        <v>646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D80" s="15" t="s">
        <v>646</v>
      </c>
      <c r="AE80" s="14" t="str">
        <f>HYPERLINK("#단가대비표!B7", "▶바로가기")</f>
        <v>▶바로가기</v>
      </c>
    </row>
    <row r="81" spans="1:31" ht="30" customHeight="1" x14ac:dyDescent="0.3">
      <c r="A81" s="21" t="s">
        <v>488</v>
      </c>
      <c r="B81" s="17" t="s">
        <v>588</v>
      </c>
      <c r="C81" s="21" t="s">
        <v>107</v>
      </c>
      <c r="D81" s="24">
        <v>0.04</v>
      </c>
      <c r="E81" s="11">
        <f>단가대비표!U25</f>
        <v>1387</v>
      </c>
      <c r="F81" s="8">
        <f>TRUNC(D81*ROUND(E81,1), 1)</f>
        <v>55.4</v>
      </c>
      <c r="G81" s="11">
        <f>단가대비표!V25</f>
        <v>0</v>
      </c>
      <c r="H81" s="8">
        <f>TRUNC(D81*ROUND(G81,1), 1)</f>
        <v>0</v>
      </c>
      <c r="I81" s="11">
        <f>단가대비표!AE25</f>
        <v>0</v>
      </c>
      <c r="J81" s="8">
        <f>TRUNC(D81*ROUND(I81,1), 1)</f>
        <v>0</v>
      </c>
      <c r="K81" s="8">
        <f t="shared" si="8"/>
        <v>1387</v>
      </c>
      <c r="L81" s="8">
        <f t="shared" si="8"/>
        <v>55.4</v>
      </c>
      <c r="M81" s="17" t="s">
        <v>646</v>
      </c>
      <c r="N81" s="1" t="s">
        <v>73</v>
      </c>
      <c r="O81" s="15" t="s">
        <v>424</v>
      </c>
      <c r="P81" s="15" t="s">
        <v>646</v>
      </c>
      <c r="Q81" s="15" t="s">
        <v>646</v>
      </c>
      <c r="R81" s="15" t="s">
        <v>276</v>
      </c>
      <c r="S81" s="20">
        <v>15</v>
      </c>
      <c r="T81" s="15" t="s">
        <v>140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D81" s="15" t="s">
        <v>646</v>
      </c>
      <c r="AE81" s="14" t="str">
        <f>HYPERLINK("#단가대비표!B25", "▶바로가기")</f>
        <v>▶바로가기</v>
      </c>
    </row>
    <row r="82" spans="1:31" ht="30" customHeight="1" x14ac:dyDescent="0.3">
      <c r="A82" s="21" t="s">
        <v>287</v>
      </c>
      <c r="B82" s="17" t="s">
        <v>206</v>
      </c>
      <c r="C82" s="21" t="s">
        <v>128</v>
      </c>
      <c r="D82" s="24">
        <v>1</v>
      </c>
      <c r="E82" s="11">
        <f>일위대가목록!E27</f>
        <v>363</v>
      </c>
      <c r="F82" s="8">
        <f>TRUNC(D82*E82,1)</f>
        <v>363</v>
      </c>
      <c r="G82" s="11">
        <f>일위대가목록!F27</f>
        <v>18183</v>
      </c>
      <c r="H82" s="8">
        <f>TRUNC(D82*G82,1)</f>
        <v>18183</v>
      </c>
      <c r="I82" s="11">
        <f>일위대가목록!G27</f>
        <v>0</v>
      </c>
      <c r="J82" s="8">
        <f>TRUNC(D82*I82,1)</f>
        <v>0</v>
      </c>
      <c r="K82" s="8">
        <f t="shared" si="8"/>
        <v>18546</v>
      </c>
      <c r="L82" s="8">
        <f t="shared" si="8"/>
        <v>18546</v>
      </c>
      <c r="M82" s="17"/>
      <c r="N82" s="1" t="s">
        <v>73</v>
      </c>
      <c r="O82" s="15" t="s">
        <v>407</v>
      </c>
      <c r="P82" s="15" t="s">
        <v>646</v>
      </c>
      <c r="Q82" s="15" t="s">
        <v>646</v>
      </c>
      <c r="R82" s="15" t="s">
        <v>276</v>
      </c>
      <c r="S82" s="20">
        <v>20</v>
      </c>
      <c r="T82" s="15" t="s">
        <v>646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D82" s="15" t="s">
        <v>646</v>
      </c>
      <c r="AE82" s="14" t="str">
        <f>HYPERLINK("#일위대가!B141", "▶바로가기")</f>
        <v>▶바로가기</v>
      </c>
    </row>
    <row r="83" spans="1:31" ht="30" customHeight="1" x14ac:dyDescent="0.3">
      <c r="A83" s="21" t="s">
        <v>515</v>
      </c>
      <c r="B83" s="21" t="s">
        <v>646</v>
      </c>
      <c r="C83" s="21" t="s">
        <v>646</v>
      </c>
      <c r="D83" s="21" t="s">
        <v>646</v>
      </c>
      <c r="E83" s="11">
        <v>0</v>
      </c>
      <c r="F83" s="11">
        <f>TRUNC(SUMIF(R80:R82, " ", F80:F82),0)</f>
        <v>6261</v>
      </c>
      <c r="G83" s="11">
        <v>0</v>
      </c>
      <c r="H83" s="11">
        <f>TRUNC(SUMIF(R80:R82, " ", H80:H82),0)</f>
        <v>18183</v>
      </c>
      <c r="I83" s="11">
        <v>0</v>
      </c>
      <c r="J83" s="8">
        <f>TRUNC(SUMIF(R80:R82, " ", J80:J82),0)</f>
        <v>0</v>
      </c>
      <c r="K83" s="13" t="s">
        <v>646</v>
      </c>
      <c r="L83" s="11">
        <f>F83+H83+J83</f>
        <v>24444</v>
      </c>
      <c r="M83" s="17"/>
      <c r="N83" s="6" t="s">
        <v>293</v>
      </c>
      <c r="O83" s="23" t="s">
        <v>293</v>
      </c>
    </row>
    <row r="84" spans="1:31" ht="30" customHeight="1" x14ac:dyDescent="0.3">
      <c r="A84" s="21" t="s">
        <v>646</v>
      </c>
      <c r="B84" s="21" t="s">
        <v>646</v>
      </c>
      <c r="C84" s="21" t="s">
        <v>646</v>
      </c>
      <c r="D84" s="21" t="s">
        <v>646</v>
      </c>
      <c r="E84" s="21" t="s">
        <v>646</v>
      </c>
      <c r="F84" s="21" t="s">
        <v>646</v>
      </c>
      <c r="G84" s="21" t="s">
        <v>646</v>
      </c>
      <c r="H84" s="21" t="s">
        <v>646</v>
      </c>
      <c r="I84" s="21" t="s">
        <v>646</v>
      </c>
      <c r="J84" s="21" t="s">
        <v>646</v>
      </c>
      <c r="K84" s="21" t="s">
        <v>646</v>
      </c>
      <c r="L84" s="21" t="s">
        <v>646</v>
      </c>
      <c r="M84" s="21" t="s">
        <v>646</v>
      </c>
    </row>
    <row r="85" spans="1:31" ht="30" customHeight="1" x14ac:dyDescent="0.3">
      <c r="A85" s="109" t="s">
        <v>526</v>
      </c>
      <c r="B85" s="110"/>
      <c r="C85" s="110"/>
      <c r="D85" s="110"/>
      <c r="E85" s="110"/>
      <c r="F85" s="110"/>
      <c r="G85" s="110"/>
      <c r="H85" s="110"/>
      <c r="I85" s="110"/>
      <c r="J85" s="110"/>
      <c r="K85" s="110"/>
      <c r="L85" s="110"/>
      <c r="M85" s="111"/>
      <c r="N85" s="1" t="s">
        <v>500</v>
      </c>
    </row>
    <row r="86" spans="1:31" ht="30" customHeight="1" x14ac:dyDescent="0.3">
      <c r="A86" s="21" t="s">
        <v>477</v>
      </c>
      <c r="B86" s="17" t="s">
        <v>646</v>
      </c>
      <c r="C86" s="21" t="s">
        <v>128</v>
      </c>
      <c r="D86" s="24">
        <v>1</v>
      </c>
      <c r="E86" s="11">
        <f>일위대가목록!E37</f>
        <v>358</v>
      </c>
      <c r="F86" s="8">
        <f>TRUNC(D86*E86,1)</f>
        <v>358</v>
      </c>
      <c r="G86" s="11">
        <f>일위대가목록!F37</f>
        <v>2802</v>
      </c>
      <c r="H86" s="8">
        <f>TRUNC(D86*G86,1)</f>
        <v>2802</v>
      </c>
      <c r="I86" s="11">
        <f>일위대가목록!G37</f>
        <v>0</v>
      </c>
      <c r="J86" s="8">
        <f>TRUNC(D86*I86,1)</f>
        <v>0</v>
      </c>
      <c r="K86" s="8">
        <f t="shared" ref="K86:L88" si="9">E86+G86+I86</f>
        <v>3160</v>
      </c>
      <c r="L86" s="8">
        <f t="shared" si="9"/>
        <v>3160</v>
      </c>
      <c r="M86" s="17" t="s">
        <v>646</v>
      </c>
      <c r="N86" s="1" t="s">
        <v>500</v>
      </c>
      <c r="O86" s="15" t="s">
        <v>24</v>
      </c>
      <c r="P86" s="15" t="s">
        <v>646</v>
      </c>
      <c r="Q86" s="15" t="s">
        <v>646</v>
      </c>
      <c r="R86" s="15" t="s">
        <v>276</v>
      </c>
      <c r="S86" s="20">
        <v>10</v>
      </c>
      <c r="T86" s="15" t="s">
        <v>646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D86" s="15" t="s">
        <v>646</v>
      </c>
      <c r="AE86" s="14" t="str">
        <f>HYPERLINK("#일위대가!B203", "▶바로가기")</f>
        <v>▶바로가기</v>
      </c>
    </row>
    <row r="87" spans="1:31" ht="30" customHeight="1" x14ac:dyDescent="0.3">
      <c r="A87" s="21" t="s">
        <v>570</v>
      </c>
      <c r="B87" s="17" t="s">
        <v>470</v>
      </c>
      <c r="C87" s="21" t="s">
        <v>128</v>
      </c>
      <c r="D87" s="24">
        <v>1</v>
      </c>
      <c r="E87" s="11">
        <f>일위대가목록!E46</f>
        <v>1312</v>
      </c>
      <c r="F87" s="8">
        <f>TRUNC(D87*E87,1)</f>
        <v>1312</v>
      </c>
      <c r="G87" s="11">
        <f>일위대가목록!F46</f>
        <v>0</v>
      </c>
      <c r="H87" s="8">
        <f>TRUNC(D87*G87,1)</f>
        <v>0</v>
      </c>
      <c r="I87" s="11">
        <f>일위대가목록!G46</f>
        <v>0</v>
      </c>
      <c r="J87" s="8">
        <f>TRUNC(D87*I87,1)</f>
        <v>0</v>
      </c>
      <c r="K87" s="8">
        <f t="shared" si="9"/>
        <v>1312</v>
      </c>
      <c r="L87" s="8">
        <f t="shared" si="9"/>
        <v>1312</v>
      </c>
      <c r="M87" s="17" t="s">
        <v>646</v>
      </c>
      <c r="N87" s="1" t="s">
        <v>500</v>
      </c>
      <c r="O87" s="15" t="s">
        <v>223</v>
      </c>
      <c r="P87" s="15" t="s">
        <v>646</v>
      </c>
      <c r="Q87" s="15" t="s">
        <v>646</v>
      </c>
      <c r="R87" s="15" t="s">
        <v>276</v>
      </c>
      <c r="S87" s="20">
        <v>20</v>
      </c>
      <c r="T87" s="15" t="s">
        <v>646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D87" s="15" t="s">
        <v>646</v>
      </c>
      <c r="AE87" s="14" t="str">
        <f>HYPERLINK("#일위대가!B260", "▶바로가기")</f>
        <v>▶바로가기</v>
      </c>
    </row>
    <row r="88" spans="1:31" ht="30" customHeight="1" x14ac:dyDescent="0.3">
      <c r="A88" s="21" t="s">
        <v>420</v>
      </c>
      <c r="B88" s="17" t="s">
        <v>346</v>
      </c>
      <c r="C88" s="21" t="s">
        <v>128</v>
      </c>
      <c r="D88" s="24">
        <v>1</v>
      </c>
      <c r="E88" s="11">
        <f>일위대가목록!E45</f>
        <v>280</v>
      </c>
      <c r="F88" s="8">
        <f>TRUNC(D88*E88,1)</f>
        <v>280</v>
      </c>
      <c r="G88" s="11">
        <f>일위대가목록!F45</f>
        <v>9357</v>
      </c>
      <c r="H88" s="8">
        <f>TRUNC(D88*G88,1)</f>
        <v>9357</v>
      </c>
      <c r="I88" s="11">
        <f>일위대가목록!G45</f>
        <v>0</v>
      </c>
      <c r="J88" s="8">
        <f>TRUNC(D88*I88,1)</f>
        <v>0</v>
      </c>
      <c r="K88" s="8">
        <f t="shared" si="9"/>
        <v>9637</v>
      </c>
      <c r="L88" s="8">
        <f t="shared" si="9"/>
        <v>9637</v>
      </c>
      <c r="M88" s="17"/>
      <c r="N88" s="1" t="s">
        <v>500</v>
      </c>
      <c r="O88" s="15" t="s">
        <v>793</v>
      </c>
      <c r="P88" s="15" t="s">
        <v>646</v>
      </c>
      <c r="Q88" s="15" t="s">
        <v>646</v>
      </c>
      <c r="R88" s="15" t="s">
        <v>276</v>
      </c>
      <c r="S88" s="20">
        <v>30</v>
      </c>
      <c r="T88" s="15" t="s">
        <v>646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D88" s="15" t="s">
        <v>646</v>
      </c>
      <c r="AE88" s="14" t="str">
        <f>HYPERLINK("#일위대가!B254", "▶바로가기")</f>
        <v>▶바로가기</v>
      </c>
    </row>
    <row r="89" spans="1:31" ht="30" customHeight="1" x14ac:dyDescent="0.3">
      <c r="A89" s="21" t="s">
        <v>515</v>
      </c>
      <c r="B89" s="21" t="s">
        <v>646</v>
      </c>
      <c r="C89" s="21" t="s">
        <v>646</v>
      </c>
      <c r="D89" s="21" t="s">
        <v>646</v>
      </c>
      <c r="E89" s="11">
        <v>0</v>
      </c>
      <c r="F89" s="11">
        <f>TRUNC(SUMIF(R86:R88, " ", F86:F88),0)</f>
        <v>1950</v>
      </c>
      <c r="G89" s="11">
        <v>0</v>
      </c>
      <c r="H89" s="11">
        <f>TRUNC(SUMIF(R86:R88, " ", H86:H88),0)</f>
        <v>12159</v>
      </c>
      <c r="I89" s="11">
        <v>0</v>
      </c>
      <c r="J89" s="8">
        <f>TRUNC(SUMIF(R86:R88, " ", J86:J88),0)</f>
        <v>0</v>
      </c>
      <c r="K89" s="13" t="s">
        <v>646</v>
      </c>
      <c r="L89" s="11">
        <f>F89+H89+J89</f>
        <v>14109</v>
      </c>
      <c r="M89" s="17"/>
      <c r="N89" s="6" t="s">
        <v>293</v>
      </c>
      <c r="O89" s="23" t="s">
        <v>293</v>
      </c>
    </row>
    <row r="90" spans="1:31" ht="30" customHeight="1" x14ac:dyDescent="0.3">
      <c r="A90" s="21" t="s">
        <v>646</v>
      </c>
      <c r="B90" s="21" t="s">
        <v>646</v>
      </c>
      <c r="C90" s="21" t="s">
        <v>646</v>
      </c>
      <c r="D90" s="21" t="s">
        <v>646</v>
      </c>
      <c r="E90" s="21" t="s">
        <v>646</v>
      </c>
      <c r="F90" s="21" t="s">
        <v>646</v>
      </c>
      <c r="G90" s="21" t="s">
        <v>646</v>
      </c>
      <c r="H90" s="21" t="s">
        <v>646</v>
      </c>
      <c r="I90" s="21" t="s">
        <v>646</v>
      </c>
      <c r="J90" s="21" t="s">
        <v>646</v>
      </c>
      <c r="K90" s="21" t="s">
        <v>646</v>
      </c>
      <c r="L90" s="21" t="s">
        <v>646</v>
      </c>
      <c r="M90" s="21" t="s">
        <v>646</v>
      </c>
    </row>
    <row r="91" spans="1:31" ht="30" customHeight="1" x14ac:dyDescent="0.3">
      <c r="A91" s="109" t="s">
        <v>696</v>
      </c>
      <c r="B91" s="110"/>
      <c r="C91" s="110"/>
      <c r="D91" s="110"/>
      <c r="E91" s="110"/>
      <c r="F91" s="110"/>
      <c r="G91" s="110"/>
      <c r="H91" s="110"/>
      <c r="I91" s="110"/>
      <c r="J91" s="110"/>
      <c r="K91" s="110"/>
      <c r="L91" s="110"/>
      <c r="M91" s="111"/>
      <c r="N91" s="1" t="s">
        <v>663</v>
      </c>
    </row>
    <row r="92" spans="1:31" ht="30" customHeight="1" x14ac:dyDescent="0.3">
      <c r="A92" s="21" t="s">
        <v>477</v>
      </c>
      <c r="B92" s="17" t="s">
        <v>646</v>
      </c>
      <c r="C92" s="21" t="s">
        <v>128</v>
      </c>
      <c r="D92" s="24">
        <v>1</v>
      </c>
      <c r="E92" s="11">
        <f>일위대가목록!E37</f>
        <v>358</v>
      </c>
      <c r="F92" s="8">
        <f>TRUNC(D92*E92,1)</f>
        <v>358</v>
      </c>
      <c r="G92" s="11">
        <f>일위대가목록!F37</f>
        <v>2802</v>
      </c>
      <c r="H92" s="8">
        <f>TRUNC(D92*G92,1)</f>
        <v>2802</v>
      </c>
      <c r="I92" s="11">
        <f>일위대가목록!G37</f>
        <v>0</v>
      </c>
      <c r="J92" s="8">
        <f>TRUNC(D92*I92,1)</f>
        <v>0</v>
      </c>
      <c r="K92" s="8">
        <f t="shared" ref="K92:L94" si="10">E92+G92+I92</f>
        <v>3160</v>
      </c>
      <c r="L92" s="8">
        <f t="shared" si="10"/>
        <v>3160</v>
      </c>
      <c r="M92" s="17" t="s">
        <v>646</v>
      </c>
      <c r="N92" s="1" t="s">
        <v>663</v>
      </c>
      <c r="O92" s="15" t="s">
        <v>24</v>
      </c>
      <c r="P92" s="15" t="s">
        <v>646</v>
      </c>
      <c r="Q92" s="15" t="s">
        <v>646</v>
      </c>
      <c r="R92" s="15" t="s">
        <v>276</v>
      </c>
      <c r="S92" s="20">
        <v>10</v>
      </c>
      <c r="T92" s="15" t="s">
        <v>646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D92" s="15" t="s">
        <v>646</v>
      </c>
      <c r="AE92" s="14" t="str">
        <f>HYPERLINK("#일위대가!B203", "▶바로가기")</f>
        <v>▶바로가기</v>
      </c>
    </row>
    <row r="93" spans="1:31" ht="30" customHeight="1" x14ac:dyDescent="0.3">
      <c r="A93" s="21" t="s">
        <v>433</v>
      </c>
      <c r="B93" s="17" t="s">
        <v>33</v>
      </c>
      <c r="C93" s="21" t="s">
        <v>128</v>
      </c>
      <c r="D93" s="24">
        <v>1</v>
      </c>
      <c r="E93" s="11">
        <f>일위대가목록!E48</f>
        <v>522</v>
      </c>
      <c r="F93" s="8">
        <f>TRUNC(D93*E93,1)</f>
        <v>522</v>
      </c>
      <c r="G93" s="11">
        <f>일위대가목록!F48</f>
        <v>0</v>
      </c>
      <c r="H93" s="8">
        <f>TRUNC(D93*G93,1)</f>
        <v>0</v>
      </c>
      <c r="I93" s="11">
        <f>일위대가목록!G48</f>
        <v>0</v>
      </c>
      <c r="J93" s="8">
        <f>TRUNC(D93*I93,1)</f>
        <v>0</v>
      </c>
      <c r="K93" s="8">
        <f t="shared" si="10"/>
        <v>522</v>
      </c>
      <c r="L93" s="8">
        <f t="shared" si="10"/>
        <v>522</v>
      </c>
      <c r="M93" s="17" t="s">
        <v>646</v>
      </c>
      <c r="N93" s="1" t="s">
        <v>663</v>
      </c>
      <c r="O93" s="15" t="s">
        <v>557</v>
      </c>
      <c r="P93" s="15" t="s">
        <v>646</v>
      </c>
      <c r="Q93" s="15" t="s">
        <v>646</v>
      </c>
      <c r="R93" s="15" t="s">
        <v>276</v>
      </c>
      <c r="S93" s="20">
        <v>15</v>
      </c>
      <c r="T93" s="15" t="s">
        <v>646</v>
      </c>
      <c r="U93" s="20">
        <v>0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D93" s="15" t="s">
        <v>646</v>
      </c>
      <c r="AE93" s="14" t="str">
        <f>HYPERLINK("#일위대가!B273", "▶바로가기")</f>
        <v>▶바로가기</v>
      </c>
    </row>
    <row r="94" spans="1:31" ht="30" customHeight="1" x14ac:dyDescent="0.3">
      <c r="A94" s="21" t="s">
        <v>769</v>
      </c>
      <c r="B94" s="17" t="s">
        <v>162</v>
      </c>
      <c r="C94" s="21" t="s">
        <v>128</v>
      </c>
      <c r="D94" s="24">
        <v>1</v>
      </c>
      <c r="E94" s="11">
        <f>일위대가목록!E47</f>
        <v>390</v>
      </c>
      <c r="F94" s="8">
        <f>TRUNC(D94*E94,1)</f>
        <v>390</v>
      </c>
      <c r="G94" s="11">
        <f>일위대가목록!F47</f>
        <v>19514</v>
      </c>
      <c r="H94" s="8">
        <f>TRUNC(D94*G94,1)</f>
        <v>19514</v>
      </c>
      <c r="I94" s="11">
        <f>일위대가목록!G47</f>
        <v>0</v>
      </c>
      <c r="J94" s="8">
        <f>TRUNC(D94*I94,1)</f>
        <v>0</v>
      </c>
      <c r="K94" s="8">
        <f t="shared" si="10"/>
        <v>19904</v>
      </c>
      <c r="L94" s="8">
        <f t="shared" si="10"/>
        <v>19904</v>
      </c>
      <c r="M94" s="17"/>
      <c r="N94" s="1" t="s">
        <v>663</v>
      </c>
      <c r="O94" s="15" t="s">
        <v>288</v>
      </c>
      <c r="P94" s="15" t="s">
        <v>646</v>
      </c>
      <c r="Q94" s="15" t="s">
        <v>646</v>
      </c>
      <c r="R94" s="15" t="s">
        <v>276</v>
      </c>
      <c r="S94" s="20">
        <v>20</v>
      </c>
      <c r="T94" s="15" t="s">
        <v>493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D94" s="15" t="s">
        <v>646</v>
      </c>
      <c r="AE94" s="14" t="str">
        <f>HYPERLINK("#일위대가!B267", "▶바로가기")</f>
        <v>▶바로가기</v>
      </c>
    </row>
    <row r="95" spans="1:31" ht="30" customHeight="1" x14ac:dyDescent="0.3">
      <c r="A95" s="21" t="s">
        <v>515</v>
      </c>
      <c r="B95" s="21" t="s">
        <v>646</v>
      </c>
      <c r="C95" s="21" t="s">
        <v>646</v>
      </c>
      <c r="D95" s="21" t="s">
        <v>646</v>
      </c>
      <c r="E95" s="11">
        <v>0</v>
      </c>
      <c r="F95" s="11">
        <f>TRUNC(SUMIF(R92:R94, " ", F92:F94),0)</f>
        <v>1270</v>
      </c>
      <c r="G95" s="11">
        <v>0</v>
      </c>
      <c r="H95" s="11">
        <f>TRUNC(SUMIF(R92:R94, " ", H92:H94),0)</f>
        <v>22316</v>
      </c>
      <c r="I95" s="11">
        <v>0</v>
      </c>
      <c r="J95" s="8">
        <f>TRUNC(SUMIF(R92:R94, " ", J92:J94),0)</f>
        <v>0</v>
      </c>
      <c r="K95" s="13" t="s">
        <v>646</v>
      </c>
      <c r="L95" s="11">
        <f>F95+H95+J95</f>
        <v>23586</v>
      </c>
      <c r="M95" s="17"/>
      <c r="N95" s="6" t="s">
        <v>293</v>
      </c>
      <c r="O95" s="23" t="s">
        <v>293</v>
      </c>
    </row>
    <row r="96" spans="1:31" ht="30" customHeight="1" x14ac:dyDescent="0.3">
      <c r="A96" s="21" t="s">
        <v>646</v>
      </c>
      <c r="B96" s="21" t="s">
        <v>646</v>
      </c>
      <c r="C96" s="21" t="s">
        <v>646</v>
      </c>
      <c r="D96" s="21" t="s">
        <v>646</v>
      </c>
      <c r="E96" s="21" t="s">
        <v>646</v>
      </c>
      <c r="F96" s="21" t="s">
        <v>646</v>
      </c>
      <c r="G96" s="21" t="s">
        <v>646</v>
      </c>
      <c r="H96" s="21" t="s">
        <v>646</v>
      </c>
      <c r="I96" s="21" t="s">
        <v>646</v>
      </c>
      <c r="J96" s="21" t="s">
        <v>646</v>
      </c>
      <c r="K96" s="21" t="s">
        <v>646</v>
      </c>
      <c r="L96" s="21" t="s">
        <v>646</v>
      </c>
      <c r="M96" s="21" t="s">
        <v>646</v>
      </c>
    </row>
    <row r="97" spans="1:31" ht="30" customHeight="1" x14ac:dyDescent="0.3">
      <c r="A97" s="109" t="s">
        <v>364</v>
      </c>
      <c r="B97" s="110"/>
      <c r="C97" s="110"/>
      <c r="D97" s="110"/>
      <c r="E97" s="110"/>
      <c r="F97" s="110"/>
      <c r="G97" s="110"/>
      <c r="H97" s="110"/>
      <c r="I97" s="110"/>
      <c r="J97" s="110"/>
      <c r="K97" s="110"/>
      <c r="L97" s="110"/>
      <c r="M97" s="111"/>
      <c r="N97" s="1" t="s">
        <v>633</v>
      </c>
    </row>
    <row r="98" spans="1:31" ht="30" customHeight="1" x14ac:dyDescent="0.3">
      <c r="A98" s="21" t="s">
        <v>177</v>
      </c>
      <c r="B98" s="17" t="s">
        <v>280</v>
      </c>
      <c r="C98" s="21" t="s">
        <v>691</v>
      </c>
      <c r="D98" s="24">
        <v>1.3620000000000001</v>
      </c>
      <c r="E98" s="11">
        <f>단가대비표!U26</f>
        <v>0</v>
      </c>
      <c r="F98" s="8">
        <f>TRUNC(D98*ROUND(E98,1), 1)</f>
        <v>0</v>
      </c>
      <c r="G98" s="11">
        <f>단가대비표!V26</f>
        <v>0</v>
      </c>
      <c r="H98" s="8">
        <f>TRUNC(D98*ROUND(G98,1), 1)</f>
        <v>0</v>
      </c>
      <c r="I98" s="11">
        <f>단가대비표!AE26</f>
        <v>0</v>
      </c>
      <c r="J98" s="8">
        <f>TRUNC(D98*ROUND(I98,1), 1)</f>
        <v>0</v>
      </c>
      <c r="K98" s="8">
        <f t="shared" ref="K98:K110" si="11">E98+G98+I98</f>
        <v>0</v>
      </c>
      <c r="L98" s="8">
        <f t="shared" ref="L98:L110" si="12">F98+H98+J98</f>
        <v>0</v>
      </c>
      <c r="M98" s="17" t="s">
        <v>646</v>
      </c>
      <c r="N98" s="1" t="s">
        <v>633</v>
      </c>
      <c r="O98" s="15" t="s">
        <v>443</v>
      </c>
      <c r="P98" s="15" t="s">
        <v>646</v>
      </c>
      <c r="Q98" s="15" t="s">
        <v>646</v>
      </c>
      <c r="R98" s="15" t="s">
        <v>276</v>
      </c>
      <c r="S98" s="20">
        <v>10</v>
      </c>
      <c r="T98" s="15" t="s">
        <v>646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D98" s="15" t="s">
        <v>646</v>
      </c>
      <c r="AE98" s="14" t="str">
        <f>HYPERLINK("#단가대비표!B26", "▶바로가기")</f>
        <v>▶바로가기</v>
      </c>
    </row>
    <row r="99" spans="1:31" ht="30" customHeight="1" x14ac:dyDescent="0.3">
      <c r="A99" s="21" t="s">
        <v>215</v>
      </c>
      <c r="B99" s="17" t="s">
        <v>585</v>
      </c>
      <c r="C99" s="21" t="s">
        <v>691</v>
      </c>
      <c r="D99" s="24">
        <v>1.3620000000000001</v>
      </c>
      <c r="E99" s="11">
        <f>일위대가목록!E29</f>
        <v>92</v>
      </c>
      <c r="F99" s="8">
        <f>TRUNC(D99*E99,1)</f>
        <v>125.3</v>
      </c>
      <c r="G99" s="11">
        <f>일위대가목록!F29</f>
        <v>2311</v>
      </c>
      <c r="H99" s="8">
        <f>TRUNC(D99*G99,1)</f>
        <v>3147.5</v>
      </c>
      <c r="I99" s="11">
        <f>일위대가목록!G29</f>
        <v>0</v>
      </c>
      <c r="J99" s="8">
        <f>TRUNC(D99*I99,1)</f>
        <v>0</v>
      </c>
      <c r="K99" s="8">
        <f t="shared" si="11"/>
        <v>2403</v>
      </c>
      <c r="L99" s="8">
        <f t="shared" si="12"/>
        <v>3272.8</v>
      </c>
      <c r="M99" s="17"/>
      <c r="N99" s="1" t="s">
        <v>633</v>
      </c>
      <c r="O99" s="15" t="s">
        <v>366</v>
      </c>
      <c r="P99" s="15" t="s">
        <v>646</v>
      </c>
      <c r="Q99" s="15" t="s">
        <v>646</v>
      </c>
      <c r="R99" s="15" t="s">
        <v>276</v>
      </c>
      <c r="S99" s="20">
        <v>20</v>
      </c>
      <c r="T99" s="15" t="s">
        <v>646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D99" s="15" t="s">
        <v>646</v>
      </c>
      <c r="AE99" s="14" t="str">
        <f>HYPERLINK("#일위대가!B153", "▶바로가기")</f>
        <v>▶바로가기</v>
      </c>
    </row>
    <row r="100" spans="1:31" ht="30" customHeight="1" x14ac:dyDescent="0.3">
      <c r="A100" s="21" t="s">
        <v>718</v>
      </c>
      <c r="B100" s="17" t="s">
        <v>758</v>
      </c>
      <c r="C100" s="21" t="s">
        <v>691</v>
      </c>
      <c r="D100" s="24">
        <v>1.3620000000000001</v>
      </c>
      <c r="E100" s="11">
        <f>단가대비표!U14</f>
        <v>1450</v>
      </c>
      <c r="F100" s="8">
        <f t="shared" ref="F100:F109" si="13">TRUNC(D100*ROUND(E100,1), 1)</f>
        <v>1974.9</v>
      </c>
      <c r="G100" s="11">
        <f>단가대비표!V14</f>
        <v>0</v>
      </c>
      <c r="H100" s="8">
        <f t="shared" ref="H100:H109" si="14">TRUNC(D100*ROUND(G100,1), 1)</f>
        <v>0</v>
      </c>
      <c r="I100" s="11">
        <f>단가대비표!AE14</f>
        <v>0</v>
      </c>
      <c r="J100" s="8">
        <f t="shared" ref="J100:J109" si="15">TRUNC(D100*ROUND(I100,1), 1)</f>
        <v>0</v>
      </c>
      <c r="K100" s="8">
        <f t="shared" si="11"/>
        <v>1450</v>
      </c>
      <c r="L100" s="8">
        <f t="shared" si="12"/>
        <v>1974.9</v>
      </c>
      <c r="M100" s="17" t="s">
        <v>646</v>
      </c>
      <c r="N100" s="1" t="s">
        <v>633</v>
      </c>
      <c r="O100" s="15" t="s">
        <v>723</v>
      </c>
      <c r="P100" s="15" t="s">
        <v>646</v>
      </c>
      <c r="Q100" s="15" t="s">
        <v>646</v>
      </c>
      <c r="R100" s="15" t="s">
        <v>276</v>
      </c>
      <c r="S100" s="20">
        <v>30</v>
      </c>
      <c r="T100" s="15" t="s">
        <v>646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D100" s="15" t="s">
        <v>646</v>
      </c>
      <c r="AE100" s="14" t="str">
        <f>HYPERLINK("#단가대비표!B14", "▶바로가기")</f>
        <v>▶바로가기</v>
      </c>
    </row>
    <row r="101" spans="1:31" ht="30" customHeight="1" x14ac:dyDescent="0.3">
      <c r="A101" s="21" t="s">
        <v>718</v>
      </c>
      <c r="B101" s="17" t="s">
        <v>278</v>
      </c>
      <c r="C101" s="21" t="s">
        <v>229</v>
      </c>
      <c r="D101" s="24">
        <v>1.222</v>
      </c>
      <c r="E101" s="11">
        <f>단가대비표!U15</f>
        <v>1290</v>
      </c>
      <c r="F101" s="8">
        <f t="shared" si="13"/>
        <v>1576.3</v>
      </c>
      <c r="G101" s="11">
        <f>단가대비표!V15</f>
        <v>0</v>
      </c>
      <c r="H101" s="8">
        <f t="shared" si="14"/>
        <v>0</v>
      </c>
      <c r="I101" s="11">
        <f>단가대비표!AE15</f>
        <v>0</v>
      </c>
      <c r="J101" s="8">
        <f t="shared" si="15"/>
        <v>0</v>
      </c>
      <c r="K101" s="8">
        <f t="shared" si="11"/>
        <v>1290</v>
      </c>
      <c r="L101" s="8">
        <f t="shared" si="12"/>
        <v>1576.3</v>
      </c>
      <c r="M101" s="17" t="s">
        <v>646</v>
      </c>
      <c r="N101" s="1" t="s">
        <v>633</v>
      </c>
      <c r="O101" s="15" t="s">
        <v>650</v>
      </c>
      <c r="P101" s="15" t="s">
        <v>646</v>
      </c>
      <c r="Q101" s="15" t="s">
        <v>646</v>
      </c>
      <c r="R101" s="15" t="s">
        <v>276</v>
      </c>
      <c r="S101" s="20">
        <v>40</v>
      </c>
      <c r="T101" s="15" t="s">
        <v>646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D101" s="15" t="s">
        <v>646</v>
      </c>
      <c r="AE101" s="14" t="str">
        <f>HYPERLINK("#단가대비표!B15", "▶바로가기")</f>
        <v>▶바로가기</v>
      </c>
    </row>
    <row r="102" spans="1:31" ht="30" customHeight="1" x14ac:dyDescent="0.3">
      <c r="A102" s="21" t="s">
        <v>718</v>
      </c>
      <c r="B102" s="17" t="s">
        <v>600</v>
      </c>
      <c r="C102" s="21" t="s">
        <v>229</v>
      </c>
      <c r="D102" s="24">
        <v>0.52500000000000002</v>
      </c>
      <c r="E102" s="11">
        <f>단가대비표!U16</f>
        <v>800</v>
      </c>
      <c r="F102" s="8">
        <f t="shared" si="13"/>
        <v>420</v>
      </c>
      <c r="G102" s="11">
        <f>단가대비표!V16</f>
        <v>0</v>
      </c>
      <c r="H102" s="8">
        <f t="shared" si="14"/>
        <v>0</v>
      </c>
      <c r="I102" s="11">
        <f>단가대비표!AE16</f>
        <v>0</v>
      </c>
      <c r="J102" s="8">
        <f t="shared" si="15"/>
        <v>0</v>
      </c>
      <c r="K102" s="8">
        <f t="shared" si="11"/>
        <v>800</v>
      </c>
      <c r="L102" s="8">
        <f t="shared" si="12"/>
        <v>420</v>
      </c>
      <c r="M102" s="17" t="s">
        <v>646</v>
      </c>
      <c r="N102" s="1" t="s">
        <v>633</v>
      </c>
      <c r="O102" s="15" t="s">
        <v>60</v>
      </c>
      <c r="P102" s="15" t="s">
        <v>646</v>
      </c>
      <c r="Q102" s="15" t="s">
        <v>646</v>
      </c>
      <c r="R102" s="15" t="s">
        <v>276</v>
      </c>
      <c r="S102" s="20">
        <v>50</v>
      </c>
      <c r="T102" s="15" t="s">
        <v>646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D102" s="15" t="s">
        <v>646</v>
      </c>
      <c r="AE102" s="14" t="str">
        <f>HYPERLINK("#단가대비표!B16", "▶바로가기")</f>
        <v>▶바로가기</v>
      </c>
    </row>
    <row r="103" spans="1:31" ht="30" customHeight="1" x14ac:dyDescent="0.3">
      <c r="A103" s="21" t="s">
        <v>718</v>
      </c>
      <c r="B103" s="17" t="s">
        <v>138</v>
      </c>
      <c r="C103" s="21" t="s">
        <v>701</v>
      </c>
      <c r="D103" s="24">
        <v>1.3620000000000001</v>
      </c>
      <c r="E103" s="11">
        <f>단가대비표!U17</f>
        <v>310</v>
      </c>
      <c r="F103" s="8">
        <f t="shared" si="13"/>
        <v>422.2</v>
      </c>
      <c r="G103" s="11">
        <f>단가대비표!V17</f>
        <v>0</v>
      </c>
      <c r="H103" s="8">
        <f t="shared" si="14"/>
        <v>0</v>
      </c>
      <c r="I103" s="11">
        <f>단가대비표!AE17</f>
        <v>0</v>
      </c>
      <c r="J103" s="8">
        <f t="shared" si="15"/>
        <v>0</v>
      </c>
      <c r="K103" s="8">
        <f t="shared" si="11"/>
        <v>310</v>
      </c>
      <c r="L103" s="8">
        <f t="shared" si="12"/>
        <v>422.2</v>
      </c>
      <c r="M103" s="17" t="s">
        <v>646</v>
      </c>
      <c r="N103" s="1" t="s">
        <v>633</v>
      </c>
      <c r="O103" s="15" t="s">
        <v>178</v>
      </c>
      <c r="P103" s="15" t="s">
        <v>646</v>
      </c>
      <c r="Q103" s="15" t="s">
        <v>646</v>
      </c>
      <c r="R103" s="15" t="s">
        <v>276</v>
      </c>
      <c r="S103" s="20">
        <v>60</v>
      </c>
      <c r="T103" s="15" t="s">
        <v>646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D103" s="15" t="s">
        <v>646</v>
      </c>
      <c r="AE103" s="14" t="str">
        <f>HYPERLINK("#단가대비표!B17", "▶바로가기")</f>
        <v>▶바로가기</v>
      </c>
    </row>
    <row r="104" spans="1:31" ht="30" customHeight="1" x14ac:dyDescent="0.3">
      <c r="A104" s="21" t="s">
        <v>718</v>
      </c>
      <c r="B104" s="17" t="s">
        <v>149</v>
      </c>
      <c r="C104" s="21" t="s">
        <v>701</v>
      </c>
      <c r="D104" s="24">
        <v>0.58399999999999996</v>
      </c>
      <c r="E104" s="11">
        <f>단가대비표!U18</f>
        <v>111</v>
      </c>
      <c r="F104" s="8">
        <f t="shared" si="13"/>
        <v>64.8</v>
      </c>
      <c r="G104" s="11">
        <f>단가대비표!V18</f>
        <v>0</v>
      </c>
      <c r="H104" s="8">
        <f t="shared" si="14"/>
        <v>0</v>
      </c>
      <c r="I104" s="11">
        <f>단가대비표!AE18</f>
        <v>0</v>
      </c>
      <c r="J104" s="8">
        <f t="shared" si="15"/>
        <v>0</v>
      </c>
      <c r="K104" s="8">
        <f t="shared" si="11"/>
        <v>111</v>
      </c>
      <c r="L104" s="8">
        <f t="shared" si="12"/>
        <v>64.8</v>
      </c>
      <c r="M104" s="17" t="s">
        <v>646</v>
      </c>
      <c r="N104" s="1" t="s">
        <v>633</v>
      </c>
      <c r="O104" s="15" t="s">
        <v>784</v>
      </c>
      <c r="P104" s="15" t="s">
        <v>646</v>
      </c>
      <c r="Q104" s="15" t="s">
        <v>646</v>
      </c>
      <c r="R104" s="15" t="s">
        <v>276</v>
      </c>
      <c r="S104" s="20">
        <v>70</v>
      </c>
      <c r="T104" s="15" t="s">
        <v>646</v>
      </c>
      <c r="U104" s="20">
        <v>0</v>
      </c>
      <c r="V104" s="20">
        <v>0</v>
      </c>
      <c r="W104" s="20">
        <v>0</v>
      </c>
      <c r="X104" s="20">
        <v>0</v>
      </c>
      <c r="Y104" s="20">
        <v>0</v>
      </c>
      <c r="Z104" s="20">
        <v>0</v>
      </c>
      <c r="AA104" s="20">
        <v>0</v>
      </c>
      <c r="AB104" s="20">
        <v>0</v>
      </c>
      <c r="AD104" s="15" t="s">
        <v>646</v>
      </c>
      <c r="AE104" s="14" t="str">
        <f>HYPERLINK("#단가대비표!B18", "▶바로가기")</f>
        <v>▶바로가기</v>
      </c>
    </row>
    <row r="105" spans="1:31" ht="30" customHeight="1" x14ac:dyDescent="0.3">
      <c r="A105" s="21" t="s">
        <v>718</v>
      </c>
      <c r="B105" s="17" t="s">
        <v>531</v>
      </c>
      <c r="C105" s="21" t="s">
        <v>701</v>
      </c>
      <c r="D105" s="24">
        <v>0.19500000000000001</v>
      </c>
      <c r="E105" s="11">
        <f>단가대비표!U19</f>
        <v>107</v>
      </c>
      <c r="F105" s="8">
        <f t="shared" si="13"/>
        <v>20.8</v>
      </c>
      <c r="G105" s="11">
        <f>단가대비표!V19</f>
        <v>0</v>
      </c>
      <c r="H105" s="8">
        <f t="shared" si="14"/>
        <v>0</v>
      </c>
      <c r="I105" s="11">
        <f>단가대비표!AE19</f>
        <v>0</v>
      </c>
      <c r="J105" s="8">
        <f t="shared" si="15"/>
        <v>0</v>
      </c>
      <c r="K105" s="8">
        <f t="shared" si="11"/>
        <v>107</v>
      </c>
      <c r="L105" s="8">
        <f t="shared" si="12"/>
        <v>20.8</v>
      </c>
      <c r="M105" s="17" t="s">
        <v>646</v>
      </c>
      <c r="N105" s="1" t="s">
        <v>633</v>
      </c>
      <c r="O105" s="15" t="s">
        <v>23</v>
      </c>
      <c r="P105" s="15" t="s">
        <v>646</v>
      </c>
      <c r="Q105" s="15" t="s">
        <v>646</v>
      </c>
      <c r="R105" s="15" t="s">
        <v>276</v>
      </c>
      <c r="S105" s="20">
        <v>80</v>
      </c>
      <c r="T105" s="15" t="s">
        <v>646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D105" s="15" t="s">
        <v>646</v>
      </c>
      <c r="AE105" s="14" t="str">
        <f>HYPERLINK("#단가대비표!B19", "▶바로가기")</f>
        <v>▶바로가기</v>
      </c>
    </row>
    <row r="106" spans="1:31" ht="30" customHeight="1" x14ac:dyDescent="0.3">
      <c r="A106" s="21" t="s">
        <v>718</v>
      </c>
      <c r="B106" s="17" t="s">
        <v>714</v>
      </c>
      <c r="C106" s="21" t="s">
        <v>229</v>
      </c>
      <c r="D106" s="24">
        <v>3.6749999999999998</v>
      </c>
      <c r="E106" s="11">
        <f>단가대비표!U13</f>
        <v>620</v>
      </c>
      <c r="F106" s="8">
        <f t="shared" si="13"/>
        <v>2278.5</v>
      </c>
      <c r="G106" s="11">
        <f>단가대비표!V13</f>
        <v>0</v>
      </c>
      <c r="H106" s="8">
        <f t="shared" si="14"/>
        <v>0</v>
      </c>
      <c r="I106" s="11">
        <f>단가대비표!AE13</f>
        <v>0</v>
      </c>
      <c r="J106" s="8">
        <f t="shared" si="15"/>
        <v>0</v>
      </c>
      <c r="K106" s="8">
        <f t="shared" si="11"/>
        <v>620</v>
      </c>
      <c r="L106" s="8">
        <f t="shared" si="12"/>
        <v>2278.5</v>
      </c>
      <c r="M106" s="17" t="s">
        <v>646</v>
      </c>
      <c r="N106" s="1" t="s">
        <v>633</v>
      </c>
      <c r="O106" s="15" t="s">
        <v>504</v>
      </c>
      <c r="P106" s="15" t="s">
        <v>646</v>
      </c>
      <c r="Q106" s="15" t="s">
        <v>646</v>
      </c>
      <c r="R106" s="15" t="s">
        <v>276</v>
      </c>
      <c r="S106" s="20">
        <v>90</v>
      </c>
      <c r="T106" s="15" t="s">
        <v>646</v>
      </c>
      <c r="U106" s="20">
        <v>0</v>
      </c>
      <c r="V106" s="20">
        <v>0</v>
      </c>
      <c r="W106" s="20">
        <v>0</v>
      </c>
      <c r="X106" s="20">
        <v>0</v>
      </c>
      <c r="Y106" s="20">
        <v>0</v>
      </c>
      <c r="Z106" s="20">
        <v>0</v>
      </c>
      <c r="AA106" s="20">
        <v>0</v>
      </c>
      <c r="AB106" s="20">
        <v>0</v>
      </c>
      <c r="AD106" s="15" t="s">
        <v>646</v>
      </c>
      <c r="AE106" s="14" t="str">
        <f>HYPERLINK("#단가대비표!B13", "▶바로가기")</f>
        <v>▶바로가기</v>
      </c>
    </row>
    <row r="107" spans="1:31" ht="30" customHeight="1" x14ac:dyDescent="0.3">
      <c r="A107" s="21" t="s">
        <v>718</v>
      </c>
      <c r="B107" s="17" t="s">
        <v>391</v>
      </c>
      <c r="C107" s="21" t="s">
        <v>691</v>
      </c>
      <c r="D107" s="24">
        <v>4.0839999999999996</v>
      </c>
      <c r="E107" s="11">
        <f>단가대비표!U20</f>
        <v>1160</v>
      </c>
      <c r="F107" s="8">
        <f t="shared" si="13"/>
        <v>4737.3999999999996</v>
      </c>
      <c r="G107" s="11">
        <f>단가대비표!V20</f>
        <v>0</v>
      </c>
      <c r="H107" s="8">
        <f t="shared" si="14"/>
        <v>0</v>
      </c>
      <c r="I107" s="11">
        <f>단가대비표!AE20</f>
        <v>0</v>
      </c>
      <c r="J107" s="8">
        <f t="shared" si="15"/>
        <v>0</v>
      </c>
      <c r="K107" s="8">
        <f t="shared" si="11"/>
        <v>1160</v>
      </c>
      <c r="L107" s="8">
        <f t="shared" si="12"/>
        <v>4737.3999999999996</v>
      </c>
      <c r="M107" s="17" t="s">
        <v>646</v>
      </c>
      <c r="N107" s="1" t="s">
        <v>633</v>
      </c>
      <c r="O107" s="15" t="s">
        <v>185</v>
      </c>
      <c r="P107" s="15" t="s">
        <v>646</v>
      </c>
      <c r="Q107" s="15" t="s">
        <v>646</v>
      </c>
      <c r="R107" s="15" t="s">
        <v>276</v>
      </c>
      <c r="S107" s="20">
        <v>100</v>
      </c>
      <c r="T107" s="15" t="s">
        <v>646</v>
      </c>
      <c r="U107" s="20">
        <v>0</v>
      </c>
      <c r="V107" s="20">
        <v>0</v>
      </c>
      <c r="W107" s="20">
        <v>0</v>
      </c>
      <c r="X107" s="20">
        <v>0</v>
      </c>
      <c r="Y107" s="20">
        <v>0</v>
      </c>
      <c r="Z107" s="20">
        <v>0</v>
      </c>
      <c r="AA107" s="20">
        <v>0</v>
      </c>
      <c r="AB107" s="20">
        <v>0</v>
      </c>
      <c r="AD107" s="15" t="s">
        <v>646</v>
      </c>
      <c r="AE107" s="14" t="str">
        <f>HYPERLINK("#단가대비표!B20", "▶바로가기")</f>
        <v>▶바로가기</v>
      </c>
    </row>
    <row r="108" spans="1:31" ht="30" customHeight="1" x14ac:dyDescent="0.3">
      <c r="A108" s="21" t="s">
        <v>718</v>
      </c>
      <c r="B108" s="17" t="s">
        <v>384</v>
      </c>
      <c r="C108" s="21" t="s">
        <v>691</v>
      </c>
      <c r="D108" s="24">
        <v>0.58399999999999996</v>
      </c>
      <c r="E108" s="11">
        <f>단가대비표!U21</f>
        <v>80</v>
      </c>
      <c r="F108" s="8">
        <f t="shared" si="13"/>
        <v>46.7</v>
      </c>
      <c r="G108" s="11">
        <f>단가대비표!V21</f>
        <v>0</v>
      </c>
      <c r="H108" s="8">
        <f t="shared" si="14"/>
        <v>0</v>
      </c>
      <c r="I108" s="11">
        <f>단가대비표!AE21</f>
        <v>0</v>
      </c>
      <c r="J108" s="8">
        <f t="shared" si="15"/>
        <v>0</v>
      </c>
      <c r="K108" s="8">
        <f t="shared" si="11"/>
        <v>80</v>
      </c>
      <c r="L108" s="8">
        <f t="shared" si="12"/>
        <v>46.7</v>
      </c>
      <c r="M108" s="17" t="s">
        <v>646</v>
      </c>
      <c r="N108" s="1" t="s">
        <v>633</v>
      </c>
      <c r="O108" s="15" t="s">
        <v>642</v>
      </c>
      <c r="P108" s="15" t="s">
        <v>646</v>
      </c>
      <c r="Q108" s="15" t="s">
        <v>646</v>
      </c>
      <c r="R108" s="15" t="s">
        <v>276</v>
      </c>
      <c r="S108" s="20">
        <v>110</v>
      </c>
      <c r="T108" s="15" t="s">
        <v>646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D108" s="15" t="s">
        <v>646</v>
      </c>
      <c r="AE108" s="14" t="str">
        <f>HYPERLINK("#단가대비표!B21", "▶바로가기")</f>
        <v>▶바로가기</v>
      </c>
    </row>
    <row r="109" spans="1:31" ht="30" customHeight="1" x14ac:dyDescent="0.3">
      <c r="A109" s="21" t="s">
        <v>718</v>
      </c>
      <c r="B109" s="17" t="s">
        <v>578</v>
      </c>
      <c r="C109" s="21" t="s">
        <v>691</v>
      </c>
      <c r="D109" s="24">
        <v>42.33</v>
      </c>
      <c r="E109" s="11">
        <f>단가대비표!U22</f>
        <v>8.6</v>
      </c>
      <c r="F109" s="8">
        <f t="shared" si="13"/>
        <v>364</v>
      </c>
      <c r="G109" s="11">
        <f>단가대비표!V22</f>
        <v>0</v>
      </c>
      <c r="H109" s="8">
        <f t="shared" si="14"/>
        <v>0</v>
      </c>
      <c r="I109" s="11">
        <f>단가대비표!AE22</f>
        <v>0</v>
      </c>
      <c r="J109" s="8">
        <f t="shared" si="15"/>
        <v>0</v>
      </c>
      <c r="K109" s="8">
        <f t="shared" si="11"/>
        <v>8.6</v>
      </c>
      <c r="L109" s="8">
        <f t="shared" si="12"/>
        <v>364</v>
      </c>
      <c r="M109" s="17" t="s">
        <v>646</v>
      </c>
      <c r="N109" s="1" t="s">
        <v>633</v>
      </c>
      <c r="O109" s="15" t="s">
        <v>172</v>
      </c>
      <c r="P109" s="15" t="s">
        <v>646</v>
      </c>
      <c r="Q109" s="15" t="s">
        <v>646</v>
      </c>
      <c r="R109" s="15" t="s">
        <v>276</v>
      </c>
      <c r="S109" s="20">
        <v>120</v>
      </c>
      <c r="T109" s="15" t="s">
        <v>646</v>
      </c>
      <c r="U109" s="20">
        <v>0</v>
      </c>
      <c r="V109" s="20">
        <v>0</v>
      </c>
      <c r="W109" s="20">
        <v>0</v>
      </c>
      <c r="X109" s="20">
        <v>0</v>
      </c>
      <c r="Y109" s="20">
        <v>0</v>
      </c>
      <c r="Z109" s="20">
        <v>0</v>
      </c>
      <c r="AA109" s="20">
        <v>0</v>
      </c>
      <c r="AB109" s="20">
        <v>0</v>
      </c>
      <c r="AD109" s="15" t="s">
        <v>646</v>
      </c>
      <c r="AE109" s="14" t="str">
        <f>HYPERLINK("#단가대비표!B22", "▶바로가기")</f>
        <v>▶바로가기</v>
      </c>
    </row>
    <row r="110" spans="1:31" ht="30" customHeight="1" x14ac:dyDescent="0.3">
      <c r="A110" s="21" t="s">
        <v>226</v>
      </c>
      <c r="B110" s="17" t="s">
        <v>481</v>
      </c>
      <c r="C110" s="21" t="s">
        <v>128</v>
      </c>
      <c r="D110" s="24">
        <v>1</v>
      </c>
      <c r="E110" s="11">
        <f>일위대가목록!E30</f>
        <v>684</v>
      </c>
      <c r="F110" s="8">
        <f>TRUNC(D110*E110,1)</f>
        <v>684</v>
      </c>
      <c r="G110" s="11">
        <f>일위대가목록!F30</f>
        <v>11402</v>
      </c>
      <c r="H110" s="8">
        <f>TRUNC(D110*G110,1)</f>
        <v>11402</v>
      </c>
      <c r="I110" s="11">
        <f>일위대가목록!G30</f>
        <v>0</v>
      </c>
      <c r="J110" s="8">
        <f>TRUNC(D110*I110,1)</f>
        <v>0</v>
      </c>
      <c r="K110" s="8">
        <f t="shared" si="11"/>
        <v>12086</v>
      </c>
      <c r="L110" s="8">
        <f t="shared" si="12"/>
        <v>12086</v>
      </c>
      <c r="M110" s="17" t="s">
        <v>30</v>
      </c>
      <c r="N110" s="1" t="s">
        <v>633</v>
      </c>
      <c r="O110" s="15" t="s">
        <v>594</v>
      </c>
      <c r="P110" s="15" t="s">
        <v>646</v>
      </c>
      <c r="Q110" s="15" t="s">
        <v>646</v>
      </c>
      <c r="R110" s="15" t="s">
        <v>276</v>
      </c>
      <c r="S110" s="20">
        <v>130</v>
      </c>
      <c r="T110" s="15" t="s">
        <v>646</v>
      </c>
      <c r="U110" s="20">
        <v>0</v>
      </c>
      <c r="V110" s="20">
        <v>0</v>
      </c>
      <c r="W110" s="20">
        <v>0</v>
      </c>
      <c r="X110" s="20">
        <v>0</v>
      </c>
      <c r="Y110" s="20">
        <v>0</v>
      </c>
      <c r="Z110" s="20">
        <v>0</v>
      </c>
      <c r="AA110" s="20">
        <v>0</v>
      </c>
      <c r="AB110" s="20">
        <v>0</v>
      </c>
      <c r="AD110" s="15" t="s">
        <v>646</v>
      </c>
      <c r="AE110" s="14" t="str">
        <f>HYPERLINK("#일위대가!B158", "▶바로가기")</f>
        <v>▶바로가기</v>
      </c>
    </row>
    <row r="111" spans="1:31" ht="30" customHeight="1" x14ac:dyDescent="0.3">
      <c r="A111" s="21" t="s">
        <v>515</v>
      </c>
      <c r="B111" s="21" t="s">
        <v>646</v>
      </c>
      <c r="C111" s="21" t="s">
        <v>646</v>
      </c>
      <c r="D111" s="21" t="s">
        <v>646</v>
      </c>
      <c r="E111" s="11">
        <v>0</v>
      </c>
      <c r="F111" s="11">
        <f>TRUNC(SUMIF(R98:R110, " ", F98:F110),0)</f>
        <v>12714</v>
      </c>
      <c r="G111" s="11">
        <v>0</v>
      </c>
      <c r="H111" s="11">
        <f>TRUNC(SUMIF(R98:R110, " ", H98:H110),0)</f>
        <v>14549</v>
      </c>
      <c r="I111" s="11">
        <v>0</v>
      </c>
      <c r="J111" s="8">
        <f>TRUNC(SUMIF(R98:R110, " ", J98:J110),0)</f>
        <v>0</v>
      </c>
      <c r="K111" s="13" t="s">
        <v>646</v>
      </c>
      <c r="L111" s="11">
        <f>F111+H111+J111</f>
        <v>27263</v>
      </c>
      <c r="M111" s="17"/>
      <c r="N111" s="6" t="s">
        <v>293</v>
      </c>
      <c r="O111" s="23" t="s">
        <v>293</v>
      </c>
    </row>
    <row r="112" spans="1:31" ht="30" customHeight="1" x14ac:dyDescent="0.3">
      <c r="A112" s="21" t="s">
        <v>646</v>
      </c>
      <c r="B112" s="21" t="s">
        <v>646</v>
      </c>
      <c r="C112" s="21" t="s">
        <v>646</v>
      </c>
      <c r="D112" s="21" t="s">
        <v>646</v>
      </c>
      <c r="E112" s="21" t="s">
        <v>646</v>
      </c>
      <c r="F112" s="21" t="s">
        <v>646</v>
      </c>
      <c r="G112" s="21" t="s">
        <v>646</v>
      </c>
      <c r="H112" s="21" t="s">
        <v>646</v>
      </c>
      <c r="I112" s="21" t="s">
        <v>646</v>
      </c>
      <c r="J112" s="21" t="s">
        <v>646</v>
      </c>
      <c r="K112" s="21" t="s">
        <v>646</v>
      </c>
      <c r="L112" s="21" t="s">
        <v>646</v>
      </c>
      <c r="M112" s="21" t="s">
        <v>646</v>
      </c>
    </row>
    <row r="113" spans="1:31" ht="30" customHeight="1" x14ac:dyDescent="0.3">
      <c r="A113" s="109" t="s">
        <v>724</v>
      </c>
      <c r="B113" s="110"/>
      <c r="C113" s="110"/>
      <c r="D113" s="110"/>
      <c r="E113" s="110"/>
      <c r="F113" s="110"/>
      <c r="G113" s="110"/>
      <c r="H113" s="110"/>
      <c r="I113" s="110"/>
      <c r="J113" s="110"/>
      <c r="K113" s="110"/>
      <c r="L113" s="110"/>
      <c r="M113" s="111"/>
      <c r="N113" s="1" t="s">
        <v>722</v>
      </c>
    </row>
    <row r="114" spans="1:31" ht="30" customHeight="1" x14ac:dyDescent="0.3">
      <c r="A114" s="21" t="s">
        <v>174</v>
      </c>
      <c r="B114" s="17" t="s">
        <v>50</v>
      </c>
      <c r="C114" s="21" t="s">
        <v>128</v>
      </c>
      <c r="D114" s="24">
        <v>1.2</v>
      </c>
      <c r="E114" s="11">
        <f>단가대비표!U12</f>
        <v>0</v>
      </c>
      <c r="F114" s="8">
        <f>TRUNC(D114*ROUND(E114,1), 1)</f>
        <v>0</v>
      </c>
      <c r="G114" s="11">
        <f>단가대비표!V12</f>
        <v>0</v>
      </c>
      <c r="H114" s="8">
        <f>TRUNC(D114*ROUND(G114,1), 1)</f>
        <v>0</v>
      </c>
      <c r="I114" s="11">
        <f>단가대비표!AE12</f>
        <v>0</v>
      </c>
      <c r="J114" s="8">
        <f>TRUNC(D114*ROUND(I114,1), 1)</f>
        <v>0</v>
      </c>
      <c r="K114" s="8">
        <f t="shared" ref="K114:L116" si="16">E114+G114+I114</f>
        <v>0</v>
      </c>
      <c r="L114" s="8">
        <f t="shared" si="16"/>
        <v>0</v>
      </c>
      <c r="M114" s="17" t="s">
        <v>646</v>
      </c>
      <c r="N114" s="1" t="s">
        <v>722</v>
      </c>
      <c r="O114" s="15" t="s">
        <v>712</v>
      </c>
      <c r="P114" s="15" t="s">
        <v>646</v>
      </c>
      <c r="Q114" s="15" t="s">
        <v>646</v>
      </c>
      <c r="R114" s="15" t="s">
        <v>276</v>
      </c>
      <c r="S114" s="20">
        <v>10</v>
      </c>
      <c r="T114" s="15" t="s">
        <v>472</v>
      </c>
      <c r="U114" s="20">
        <v>0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0</v>
      </c>
      <c r="AB114" s="20">
        <v>0</v>
      </c>
      <c r="AD114" s="15" t="s">
        <v>646</v>
      </c>
      <c r="AE114" s="14" t="str">
        <f>HYPERLINK("#단가대비표!B12", "▶바로가기")</f>
        <v>▶바로가기</v>
      </c>
    </row>
    <row r="115" spans="1:31" ht="30" customHeight="1" x14ac:dyDescent="0.3">
      <c r="A115" s="21" t="s">
        <v>709</v>
      </c>
      <c r="B115" s="17" t="s">
        <v>489</v>
      </c>
      <c r="C115" s="21" t="s">
        <v>717</v>
      </c>
      <c r="D115" s="24">
        <v>8.7999999999999995E-2</v>
      </c>
      <c r="E115" s="11">
        <f>단가대비표!U60</f>
        <v>0</v>
      </c>
      <c r="F115" s="8">
        <f>TRUNC(D115*ROUND(E115,1), 1)</f>
        <v>0</v>
      </c>
      <c r="G115" s="11">
        <f>단가대비표!V60</f>
        <v>256883</v>
      </c>
      <c r="H115" s="8">
        <f>TRUNC(D115*ROUND(G115,1), 1)</f>
        <v>22605.7</v>
      </c>
      <c r="I115" s="11">
        <f>단가대비표!AE60</f>
        <v>0</v>
      </c>
      <c r="J115" s="8">
        <f>TRUNC(D115*ROUND(I115,1), 1)</f>
        <v>0</v>
      </c>
      <c r="K115" s="8">
        <f t="shared" si="16"/>
        <v>256883</v>
      </c>
      <c r="L115" s="8">
        <f t="shared" si="16"/>
        <v>22605.7</v>
      </c>
      <c r="M115" s="17" t="s">
        <v>646</v>
      </c>
      <c r="N115" s="1" t="s">
        <v>722</v>
      </c>
      <c r="O115" s="15" t="s">
        <v>108</v>
      </c>
      <c r="P115" s="15" t="s">
        <v>646</v>
      </c>
      <c r="Q115" s="15" t="s">
        <v>646</v>
      </c>
      <c r="R115" s="15" t="s">
        <v>276</v>
      </c>
      <c r="S115" s="20">
        <v>20</v>
      </c>
      <c r="T115" s="15" t="s">
        <v>789</v>
      </c>
      <c r="U115" s="20">
        <v>0</v>
      </c>
      <c r="V115" s="20">
        <v>0</v>
      </c>
      <c r="W115" s="20">
        <v>0</v>
      </c>
      <c r="X115" s="20">
        <v>0</v>
      </c>
      <c r="Y115" s="20">
        <v>0</v>
      </c>
      <c r="Z115" s="20">
        <v>0</v>
      </c>
      <c r="AA115" s="20">
        <v>0</v>
      </c>
      <c r="AB115" s="20">
        <v>0</v>
      </c>
      <c r="AD115" s="15" t="s">
        <v>646</v>
      </c>
      <c r="AE115" s="14" t="str">
        <f>HYPERLINK("#단가대비표!B60", "▶바로가기")</f>
        <v>▶바로가기</v>
      </c>
    </row>
    <row r="116" spans="1:31" ht="30" customHeight="1" x14ac:dyDescent="0.3">
      <c r="A116" s="21" t="s">
        <v>567</v>
      </c>
      <c r="B116" s="17" t="s">
        <v>489</v>
      </c>
      <c r="C116" s="21" t="s">
        <v>717</v>
      </c>
      <c r="D116" s="24">
        <v>1.9E-2</v>
      </c>
      <c r="E116" s="11">
        <f>단가대비표!U53</f>
        <v>0</v>
      </c>
      <c r="F116" s="8">
        <f>TRUNC(D116*ROUND(E116,1), 1)</f>
        <v>0</v>
      </c>
      <c r="G116" s="11">
        <f>단가대비표!V53</f>
        <v>172068</v>
      </c>
      <c r="H116" s="8">
        <f>TRUNC(D116*ROUND(G116,1), 1)</f>
        <v>3269.2</v>
      </c>
      <c r="I116" s="11">
        <f>단가대비표!AE53</f>
        <v>0</v>
      </c>
      <c r="J116" s="8">
        <f>TRUNC(D116*ROUND(I116,1), 1)</f>
        <v>0</v>
      </c>
      <c r="K116" s="8">
        <f t="shared" si="16"/>
        <v>172068</v>
      </c>
      <c r="L116" s="8">
        <f t="shared" si="16"/>
        <v>3269.2</v>
      </c>
      <c r="M116" s="17" t="s">
        <v>646</v>
      </c>
      <c r="N116" s="1" t="s">
        <v>722</v>
      </c>
      <c r="O116" s="15" t="s">
        <v>589</v>
      </c>
      <c r="P116" s="15" t="s">
        <v>646</v>
      </c>
      <c r="Q116" s="15" t="s">
        <v>646</v>
      </c>
      <c r="R116" s="15" t="s">
        <v>276</v>
      </c>
      <c r="S116" s="20">
        <v>30</v>
      </c>
      <c r="T116" s="15" t="s">
        <v>664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0</v>
      </c>
      <c r="AB116" s="20">
        <v>0</v>
      </c>
      <c r="AD116" s="15" t="s">
        <v>646</v>
      </c>
      <c r="AE116" s="14" t="str">
        <f>HYPERLINK("#단가대비표!B53", "▶바로가기")</f>
        <v>▶바로가기</v>
      </c>
    </row>
    <row r="117" spans="1:31" ht="30" customHeight="1" x14ac:dyDescent="0.3">
      <c r="A117" s="21" t="s">
        <v>515</v>
      </c>
      <c r="B117" s="21" t="s">
        <v>646</v>
      </c>
      <c r="C117" s="21" t="s">
        <v>646</v>
      </c>
      <c r="D117" s="21" t="s">
        <v>646</v>
      </c>
      <c r="E117" s="11">
        <v>0</v>
      </c>
      <c r="F117" s="11">
        <f>TRUNC(SUMIF(R114:R116, " ", F114:F116),0)</f>
        <v>0</v>
      </c>
      <c r="G117" s="11">
        <v>0</v>
      </c>
      <c r="H117" s="11">
        <f>TRUNC(SUMIF(R114:R116, " ", H114:H116),0)</f>
        <v>25874</v>
      </c>
      <c r="I117" s="11">
        <v>0</v>
      </c>
      <c r="J117" s="8">
        <f>TRUNC(SUMIF(R114:R116, " ", J114:J116),0)</f>
        <v>0</v>
      </c>
      <c r="K117" s="13" t="s">
        <v>646</v>
      </c>
      <c r="L117" s="11">
        <f>F117+H117+J117</f>
        <v>25874</v>
      </c>
      <c r="M117" s="17"/>
      <c r="N117" s="6" t="s">
        <v>293</v>
      </c>
      <c r="O117" s="23" t="s">
        <v>293</v>
      </c>
    </row>
    <row r="118" spans="1:31" ht="30" customHeight="1" x14ac:dyDescent="0.3">
      <c r="A118" s="21" t="s">
        <v>646</v>
      </c>
      <c r="B118" s="21" t="s">
        <v>646</v>
      </c>
      <c r="C118" s="21" t="s">
        <v>646</v>
      </c>
      <c r="D118" s="21" t="s">
        <v>646</v>
      </c>
      <c r="E118" s="21" t="s">
        <v>646</v>
      </c>
      <c r="F118" s="21" t="s">
        <v>646</v>
      </c>
      <c r="G118" s="21" t="s">
        <v>646</v>
      </c>
      <c r="H118" s="21" t="s">
        <v>646</v>
      </c>
      <c r="I118" s="21" t="s">
        <v>646</v>
      </c>
      <c r="J118" s="21" t="s">
        <v>646</v>
      </c>
      <c r="K118" s="21" t="s">
        <v>646</v>
      </c>
      <c r="L118" s="21" t="s">
        <v>646</v>
      </c>
      <c r="M118" s="21" t="s">
        <v>646</v>
      </c>
    </row>
    <row r="119" spans="1:31" ht="30" customHeight="1" x14ac:dyDescent="0.3">
      <c r="A119" s="109" t="s">
        <v>367</v>
      </c>
      <c r="B119" s="110"/>
      <c r="C119" s="110"/>
      <c r="D119" s="110"/>
      <c r="E119" s="110"/>
      <c r="F119" s="110"/>
      <c r="G119" s="110"/>
      <c r="H119" s="110"/>
      <c r="I119" s="110"/>
      <c r="J119" s="110"/>
      <c r="K119" s="110"/>
      <c r="L119" s="110"/>
      <c r="M119" s="111"/>
      <c r="N119" s="1" t="s">
        <v>610</v>
      </c>
    </row>
    <row r="120" spans="1:31" ht="30" customHeight="1" x14ac:dyDescent="0.3">
      <c r="A120" s="21" t="s">
        <v>766</v>
      </c>
      <c r="B120" s="17" t="s">
        <v>415</v>
      </c>
      <c r="C120" s="21" t="s">
        <v>128</v>
      </c>
      <c r="D120" s="24">
        <v>1.05</v>
      </c>
      <c r="E120" s="11">
        <f>단가대비표!U23</f>
        <v>19000</v>
      </c>
      <c r="F120" s="8">
        <f>TRUNC(D120*ROUND(E120,1), 1)</f>
        <v>19950</v>
      </c>
      <c r="G120" s="11">
        <f>단가대비표!V23</f>
        <v>0</v>
      </c>
      <c r="H120" s="8">
        <f>TRUNC(D120*ROUND(G120,1), 1)</f>
        <v>0</v>
      </c>
      <c r="I120" s="11">
        <f>단가대비표!AE23</f>
        <v>0</v>
      </c>
      <c r="J120" s="8">
        <f>TRUNC(D120*ROUND(I120,1), 1)</f>
        <v>0</v>
      </c>
      <c r="K120" s="8">
        <f>E120+G120+I120</f>
        <v>19000</v>
      </c>
      <c r="L120" s="8">
        <f>F120+H120+J120</f>
        <v>19950</v>
      </c>
      <c r="M120" s="17" t="s">
        <v>646</v>
      </c>
      <c r="N120" s="1" t="s">
        <v>610</v>
      </c>
      <c r="O120" s="15" t="s">
        <v>260</v>
      </c>
      <c r="P120" s="15" t="s">
        <v>646</v>
      </c>
      <c r="Q120" s="15" t="s">
        <v>646</v>
      </c>
      <c r="R120" s="15" t="s">
        <v>276</v>
      </c>
      <c r="S120" s="20">
        <v>10</v>
      </c>
      <c r="T120" s="15" t="s">
        <v>646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D120" s="15" t="s">
        <v>646</v>
      </c>
      <c r="AE120" s="14" t="str">
        <f>HYPERLINK("#단가대비표!B23", "▶바로가기")</f>
        <v>▶바로가기</v>
      </c>
    </row>
    <row r="121" spans="1:31" ht="30" customHeight="1" x14ac:dyDescent="0.3">
      <c r="A121" s="21" t="s">
        <v>250</v>
      </c>
      <c r="B121" s="17" t="s">
        <v>191</v>
      </c>
      <c r="C121" s="21" t="s">
        <v>128</v>
      </c>
      <c r="D121" s="24">
        <v>1</v>
      </c>
      <c r="E121" s="11">
        <f>일위대가목록!E28</f>
        <v>869</v>
      </c>
      <c r="F121" s="8">
        <f>TRUNC(D121*E121,1)</f>
        <v>869</v>
      </c>
      <c r="G121" s="11">
        <f>일위대가목록!F28</f>
        <v>17145</v>
      </c>
      <c r="H121" s="8">
        <f>TRUNC(D121*G121,1)</f>
        <v>17145</v>
      </c>
      <c r="I121" s="11">
        <f>일위대가목록!G28</f>
        <v>0</v>
      </c>
      <c r="J121" s="8">
        <f>TRUNC(D121*I121,1)</f>
        <v>0</v>
      </c>
      <c r="K121" s="8">
        <f>E121+G121+I121</f>
        <v>18014</v>
      </c>
      <c r="L121" s="8">
        <f>F121+H121+J121</f>
        <v>18014</v>
      </c>
      <c r="M121" s="17"/>
      <c r="N121" s="1" t="s">
        <v>610</v>
      </c>
      <c r="O121" s="15" t="s">
        <v>202</v>
      </c>
      <c r="P121" s="15" t="s">
        <v>646</v>
      </c>
      <c r="Q121" s="15" t="s">
        <v>646</v>
      </c>
      <c r="R121" s="15" t="s">
        <v>276</v>
      </c>
      <c r="S121" s="20">
        <v>20</v>
      </c>
      <c r="T121" s="15" t="s">
        <v>646</v>
      </c>
      <c r="U121" s="20">
        <v>0</v>
      </c>
      <c r="V121" s="20">
        <v>0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D121" s="15" t="s">
        <v>646</v>
      </c>
      <c r="AE121" s="14" t="str">
        <f>HYPERLINK("#일위대가!B147", "▶바로가기")</f>
        <v>▶바로가기</v>
      </c>
    </row>
    <row r="122" spans="1:31" ht="30" customHeight="1" x14ac:dyDescent="0.3">
      <c r="A122" s="21" t="s">
        <v>515</v>
      </c>
      <c r="B122" s="21" t="s">
        <v>646</v>
      </c>
      <c r="C122" s="21" t="s">
        <v>646</v>
      </c>
      <c r="D122" s="21" t="s">
        <v>646</v>
      </c>
      <c r="E122" s="11">
        <v>0</v>
      </c>
      <c r="F122" s="11">
        <f>TRUNC(SUMIF(R120:R121, " ", F120:F121),0)</f>
        <v>20819</v>
      </c>
      <c r="G122" s="11">
        <v>0</v>
      </c>
      <c r="H122" s="11">
        <f>TRUNC(SUMIF(R120:R121, " ", H120:H121),0)</f>
        <v>17145</v>
      </c>
      <c r="I122" s="11">
        <v>0</v>
      </c>
      <c r="J122" s="8">
        <f>TRUNC(SUMIF(R120:R121, " ", J120:J121),0)</f>
        <v>0</v>
      </c>
      <c r="K122" s="13" t="s">
        <v>646</v>
      </c>
      <c r="L122" s="11">
        <f>F122+H122+J122</f>
        <v>37964</v>
      </c>
      <c r="M122" s="17"/>
      <c r="N122" s="6" t="s">
        <v>293</v>
      </c>
      <c r="O122" s="23" t="s">
        <v>293</v>
      </c>
    </row>
    <row r="123" spans="1:31" ht="30" customHeight="1" x14ac:dyDescent="0.3">
      <c r="A123" s="21" t="s">
        <v>646</v>
      </c>
      <c r="B123" s="21" t="s">
        <v>646</v>
      </c>
      <c r="C123" s="21" t="s">
        <v>646</v>
      </c>
      <c r="D123" s="21" t="s">
        <v>646</v>
      </c>
      <c r="E123" s="21" t="s">
        <v>646</v>
      </c>
      <c r="F123" s="21" t="s">
        <v>646</v>
      </c>
      <c r="G123" s="21" t="s">
        <v>646</v>
      </c>
      <c r="H123" s="21" t="s">
        <v>646</v>
      </c>
      <c r="I123" s="21" t="s">
        <v>646</v>
      </c>
      <c r="J123" s="21" t="s">
        <v>646</v>
      </c>
      <c r="K123" s="21" t="s">
        <v>646</v>
      </c>
      <c r="L123" s="21" t="s">
        <v>646</v>
      </c>
      <c r="M123" s="21" t="s">
        <v>646</v>
      </c>
    </row>
    <row r="124" spans="1:31" ht="30" customHeight="1" x14ac:dyDescent="0.3">
      <c r="A124" s="109" t="s">
        <v>63</v>
      </c>
      <c r="B124" s="110"/>
      <c r="C124" s="110"/>
      <c r="D124" s="110"/>
      <c r="E124" s="110"/>
      <c r="F124" s="110"/>
      <c r="G124" s="110"/>
      <c r="H124" s="110"/>
      <c r="I124" s="110"/>
      <c r="J124" s="110"/>
      <c r="K124" s="110"/>
      <c r="L124" s="110"/>
      <c r="M124" s="111"/>
      <c r="N124" s="1" t="s">
        <v>667</v>
      </c>
    </row>
    <row r="125" spans="1:31" ht="30" customHeight="1" x14ac:dyDescent="0.3">
      <c r="A125" s="21" t="s">
        <v>679</v>
      </c>
      <c r="B125" s="17" t="s">
        <v>489</v>
      </c>
      <c r="C125" s="21" t="s">
        <v>717</v>
      </c>
      <c r="D125" s="24">
        <v>8.3000000000000004E-2</v>
      </c>
      <c r="E125" s="11">
        <f>단가대비표!U58</f>
        <v>0</v>
      </c>
      <c r="F125" s="8">
        <f>TRUNC(D125*ROUND(E125,1), 1)</f>
        <v>0</v>
      </c>
      <c r="G125" s="11">
        <f>단가대비표!V58</f>
        <v>253539</v>
      </c>
      <c r="H125" s="8">
        <f>TRUNC(D125*ROUND(G125,1), 1)</f>
        <v>21043.7</v>
      </c>
      <c r="I125" s="11">
        <f>단가대비표!AE58</f>
        <v>0</v>
      </c>
      <c r="J125" s="8">
        <f>TRUNC(D125*ROUND(I125,1), 1)</f>
        <v>0</v>
      </c>
      <c r="K125" s="8">
        <f>E125+G125+I125</f>
        <v>253539</v>
      </c>
      <c r="L125" s="8">
        <f>F125+H125+J125</f>
        <v>21043.7</v>
      </c>
      <c r="M125" s="17"/>
      <c r="N125" s="1" t="s">
        <v>667</v>
      </c>
      <c r="O125" s="15" t="s">
        <v>444</v>
      </c>
      <c r="P125" s="15" t="s">
        <v>646</v>
      </c>
      <c r="Q125" s="15" t="s">
        <v>646</v>
      </c>
      <c r="R125" s="15" t="s">
        <v>276</v>
      </c>
      <c r="S125" s="20">
        <v>10</v>
      </c>
      <c r="T125" s="15" t="s">
        <v>646</v>
      </c>
      <c r="U125" s="20">
        <v>0</v>
      </c>
      <c r="V125" s="20">
        <v>0</v>
      </c>
      <c r="W125" s="20">
        <v>0</v>
      </c>
      <c r="X125" s="20">
        <v>0</v>
      </c>
      <c r="Y125" s="20">
        <v>0</v>
      </c>
      <c r="Z125" s="20">
        <v>0</v>
      </c>
      <c r="AA125" s="20">
        <v>0</v>
      </c>
      <c r="AB125" s="20">
        <v>0</v>
      </c>
      <c r="AD125" s="15" t="s">
        <v>646</v>
      </c>
      <c r="AE125" s="14" t="str">
        <f>HYPERLINK("#단가대비표!B58", "▶바로가기")</f>
        <v>▶바로가기</v>
      </c>
    </row>
    <row r="126" spans="1:31" ht="30" customHeight="1" x14ac:dyDescent="0.3">
      <c r="A126" s="21" t="s">
        <v>567</v>
      </c>
      <c r="B126" s="17" t="s">
        <v>489</v>
      </c>
      <c r="C126" s="21" t="s">
        <v>717</v>
      </c>
      <c r="D126" s="24">
        <v>1.2999999999999999E-2</v>
      </c>
      <c r="E126" s="11">
        <f>단가대비표!U53</f>
        <v>0</v>
      </c>
      <c r="F126" s="8">
        <f>TRUNC(D126*ROUND(E126,1), 1)</f>
        <v>0</v>
      </c>
      <c r="G126" s="11">
        <f>단가대비표!V53</f>
        <v>172068</v>
      </c>
      <c r="H126" s="8">
        <f>TRUNC(D126*ROUND(G126,1), 1)</f>
        <v>2236.8000000000002</v>
      </c>
      <c r="I126" s="11">
        <f>단가대비표!AE53</f>
        <v>0</v>
      </c>
      <c r="J126" s="8">
        <f>TRUNC(D126*ROUND(I126,1), 1)</f>
        <v>0</v>
      </c>
      <c r="K126" s="8">
        <f>E126+G126+I126</f>
        <v>172068</v>
      </c>
      <c r="L126" s="8">
        <f>F126+H126+J126</f>
        <v>2236.8000000000002</v>
      </c>
      <c r="M126" s="17"/>
      <c r="N126" s="1" t="s">
        <v>667</v>
      </c>
      <c r="O126" s="15" t="s">
        <v>589</v>
      </c>
      <c r="P126" s="15" t="s">
        <v>646</v>
      </c>
      <c r="Q126" s="15" t="s">
        <v>646</v>
      </c>
      <c r="R126" s="15" t="s">
        <v>276</v>
      </c>
      <c r="S126" s="20">
        <v>20</v>
      </c>
      <c r="T126" s="15" t="s">
        <v>646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D126" s="15" t="s">
        <v>646</v>
      </c>
      <c r="AE126" s="14" t="str">
        <f>HYPERLINK("#단가대비표!B53", "▶바로가기")</f>
        <v>▶바로가기</v>
      </c>
    </row>
    <row r="127" spans="1:31" ht="30" customHeight="1" x14ac:dyDescent="0.3">
      <c r="A127" s="21" t="s">
        <v>515</v>
      </c>
      <c r="B127" s="21" t="s">
        <v>646</v>
      </c>
      <c r="C127" s="21" t="s">
        <v>646</v>
      </c>
      <c r="D127" s="21" t="s">
        <v>646</v>
      </c>
      <c r="E127" s="11">
        <v>0</v>
      </c>
      <c r="F127" s="11">
        <f>TRUNC(SUMIF(R125:R126, " ", F125:F126),0)</f>
        <v>0</v>
      </c>
      <c r="G127" s="11">
        <v>0</v>
      </c>
      <c r="H127" s="11">
        <f>TRUNC(SUMIF(R125:R126, " ", H125:H126),0)</f>
        <v>23280</v>
      </c>
      <c r="I127" s="11">
        <v>0</v>
      </c>
      <c r="J127" s="8">
        <f>TRUNC(SUMIF(R125:R126, " ", J125:J126),0)</f>
        <v>0</v>
      </c>
      <c r="K127" s="13" t="s">
        <v>646</v>
      </c>
      <c r="L127" s="11">
        <f>F127+H127+J127</f>
        <v>23280</v>
      </c>
      <c r="M127" s="17"/>
      <c r="N127" s="6" t="s">
        <v>293</v>
      </c>
      <c r="O127" s="23" t="s">
        <v>293</v>
      </c>
    </row>
    <row r="128" spans="1:31" ht="30" customHeight="1" x14ac:dyDescent="0.3">
      <c r="A128" s="21" t="s">
        <v>646</v>
      </c>
      <c r="B128" s="21" t="s">
        <v>646</v>
      </c>
      <c r="C128" s="21" t="s">
        <v>646</v>
      </c>
      <c r="D128" s="21" t="s">
        <v>646</v>
      </c>
      <c r="E128" s="21" t="s">
        <v>646</v>
      </c>
      <c r="F128" s="21" t="s">
        <v>646</v>
      </c>
      <c r="G128" s="21" t="s">
        <v>646</v>
      </c>
      <c r="H128" s="21" t="s">
        <v>646</v>
      </c>
      <c r="I128" s="21" t="s">
        <v>646</v>
      </c>
      <c r="J128" s="21" t="s">
        <v>646</v>
      </c>
      <c r="K128" s="21" t="s">
        <v>646</v>
      </c>
      <c r="L128" s="21" t="s">
        <v>646</v>
      </c>
      <c r="M128" s="21" t="s">
        <v>646</v>
      </c>
    </row>
    <row r="129" spans="1:31" ht="30" customHeight="1" x14ac:dyDescent="0.3">
      <c r="A129" s="109" t="s">
        <v>475</v>
      </c>
      <c r="B129" s="110"/>
      <c r="C129" s="110"/>
      <c r="D129" s="110"/>
      <c r="E129" s="110"/>
      <c r="F129" s="110"/>
      <c r="G129" s="110"/>
      <c r="H129" s="110"/>
      <c r="I129" s="110"/>
      <c r="J129" s="110"/>
      <c r="K129" s="110"/>
      <c r="L129" s="110"/>
      <c r="M129" s="111"/>
      <c r="N129" s="1" t="s">
        <v>322</v>
      </c>
    </row>
    <row r="130" spans="1:31" ht="30" customHeight="1" x14ac:dyDescent="0.3">
      <c r="A130" s="21" t="s">
        <v>110</v>
      </c>
      <c r="B130" s="17" t="s">
        <v>442</v>
      </c>
      <c r="C130" s="21" t="s">
        <v>128</v>
      </c>
      <c r="D130" s="24">
        <v>0.45</v>
      </c>
      <c r="E130" s="11">
        <f>일위대가목록!E35</f>
        <v>12945</v>
      </c>
      <c r="F130" s="8">
        <f>TRUNC(D130*E130,1)</f>
        <v>5825.2</v>
      </c>
      <c r="G130" s="11">
        <f>일위대가목록!F35</f>
        <v>65233</v>
      </c>
      <c r="H130" s="8">
        <f>TRUNC(D130*G130,1)</f>
        <v>29354.799999999999</v>
      </c>
      <c r="I130" s="11">
        <f>일위대가목록!G35</f>
        <v>0</v>
      </c>
      <c r="J130" s="8">
        <f>TRUNC(D130*I130,1)</f>
        <v>0</v>
      </c>
      <c r="K130" s="8">
        <f t="shared" ref="K130:L132" si="17">E130+G130+I130</f>
        <v>78178</v>
      </c>
      <c r="L130" s="8">
        <f t="shared" si="17"/>
        <v>35180</v>
      </c>
      <c r="M130" s="17" t="s">
        <v>646</v>
      </c>
      <c r="N130" s="1" t="s">
        <v>322</v>
      </c>
      <c r="O130" s="15" t="s">
        <v>117</v>
      </c>
      <c r="P130" s="15" t="s">
        <v>646</v>
      </c>
      <c r="Q130" s="15" t="s">
        <v>646</v>
      </c>
      <c r="R130" s="15" t="s">
        <v>276</v>
      </c>
      <c r="S130" s="20">
        <v>10</v>
      </c>
      <c r="T130" s="15" t="s">
        <v>678</v>
      </c>
      <c r="U130" s="20">
        <v>0</v>
      </c>
      <c r="V130" s="20">
        <v>0</v>
      </c>
      <c r="W130" s="20">
        <v>0</v>
      </c>
      <c r="X130" s="20">
        <v>0</v>
      </c>
      <c r="Y130" s="20">
        <v>0</v>
      </c>
      <c r="Z130" s="20">
        <v>0</v>
      </c>
      <c r="AA130" s="20">
        <v>0</v>
      </c>
      <c r="AB130" s="20">
        <v>0</v>
      </c>
      <c r="AD130" s="15" t="s">
        <v>646</v>
      </c>
      <c r="AE130" s="14" t="str">
        <f>HYPERLINK("#일위대가!B190", "▶바로가기")</f>
        <v>▶바로가기</v>
      </c>
    </row>
    <row r="131" spans="1:31" ht="30" customHeight="1" x14ac:dyDescent="0.3">
      <c r="A131" s="21" t="s">
        <v>55</v>
      </c>
      <c r="B131" s="17" t="s">
        <v>487</v>
      </c>
      <c r="C131" s="21" t="s">
        <v>229</v>
      </c>
      <c r="D131" s="24">
        <v>1.7634000000000001</v>
      </c>
      <c r="E131" s="11">
        <f>일위대가목록!E36</f>
        <v>1767</v>
      </c>
      <c r="F131" s="8">
        <f>TRUNC(D131*E131,1)</f>
        <v>3115.9</v>
      </c>
      <c r="G131" s="11">
        <f>일위대가목록!F36</f>
        <v>6413</v>
      </c>
      <c r="H131" s="8">
        <f>TRUNC(D131*G131,1)</f>
        <v>11308.6</v>
      </c>
      <c r="I131" s="11">
        <f>일위대가목록!G36</f>
        <v>0</v>
      </c>
      <c r="J131" s="8">
        <f>TRUNC(D131*I131,1)</f>
        <v>0</v>
      </c>
      <c r="K131" s="8">
        <f t="shared" si="17"/>
        <v>8180</v>
      </c>
      <c r="L131" s="8">
        <f t="shared" si="17"/>
        <v>14424.5</v>
      </c>
      <c r="M131" s="17"/>
      <c r="N131" s="1" t="s">
        <v>322</v>
      </c>
      <c r="O131" s="15" t="s">
        <v>144</v>
      </c>
      <c r="P131" s="15" t="s">
        <v>646</v>
      </c>
      <c r="Q131" s="15" t="s">
        <v>646</v>
      </c>
      <c r="R131" s="15" t="s">
        <v>276</v>
      </c>
      <c r="S131" s="20">
        <v>20</v>
      </c>
      <c r="T131" s="15" t="s">
        <v>320</v>
      </c>
      <c r="U131" s="20">
        <v>0</v>
      </c>
      <c r="V131" s="20">
        <v>0</v>
      </c>
      <c r="W131" s="20">
        <v>0</v>
      </c>
      <c r="X131" s="20">
        <v>0</v>
      </c>
      <c r="Y131" s="20">
        <v>0</v>
      </c>
      <c r="Z131" s="20">
        <v>0</v>
      </c>
      <c r="AA131" s="20">
        <v>0</v>
      </c>
      <c r="AB131" s="20">
        <v>0</v>
      </c>
      <c r="AD131" s="15" t="s">
        <v>646</v>
      </c>
      <c r="AE131" s="14" t="str">
        <f>HYPERLINK("#일위대가!B196", "▶바로가기")</f>
        <v>▶바로가기</v>
      </c>
    </row>
    <row r="132" spans="1:31" ht="30" customHeight="1" x14ac:dyDescent="0.3">
      <c r="A132" s="21" t="s">
        <v>756</v>
      </c>
      <c r="B132" s="17" t="s">
        <v>28</v>
      </c>
      <c r="C132" s="21" t="s">
        <v>128</v>
      </c>
      <c r="D132" s="24">
        <v>0.45</v>
      </c>
      <c r="E132" s="11">
        <f>일위대가목록!E49</f>
        <v>8079</v>
      </c>
      <c r="F132" s="8">
        <f>TRUNC(D132*E132,1)</f>
        <v>3635.5</v>
      </c>
      <c r="G132" s="11">
        <f>일위대가목록!F49</f>
        <v>13384</v>
      </c>
      <c r="H132" s="8">
        <f>TRUNC(D132*G132,1)</f>
        <v>6022.8</v>
      </c>
      <c r="I132" s="11">
        <f>일위대가목록!G49</f>
        <v>0</v>
      </c>
      <c r="J132" s="8">
        <f>TRUNC(D132*I132,1)</f>
        <v>0</v>
      </c>
      <c r="K132" s="8">
        <f t="shared" si="17"/>
        <v>21463</v>
      </c>
      <c r="L132" s="8">
        <f t="shared" si="17"/>
        <v>9658.2999999999993</v>
      </c>
      <c r="M132" s="17" t="s">
        <v>595</v>
      </c>
      <c r="N132" s="1" t="s">
        <v>322</v>
      </c>
      <c r="O132" s="15" t="s">
        <v>64</v>
      </c>
      <c r="P132" s="15" t="s">
        <v>646</v>
      </c>
      <c r="Q132" s="15" t="s">
        <v>646</v>
      </c>
      <c r="R132" s="15" t="s">
        <v>276</v>
      </c>
      <c r="S132" s="20">
        <v>30</v>
      </c>
      <c r="T132" s="15" t="s">
        <v>646</v>
      </c>
      <c r="U132" s="20">
        <v>0</v>
      </c>
      <c r="V132" s="20">
        <v>0</v>
      </c>
      <c r="W132" s="20">
        <v>0</v>
      </c>
      <c r="X132" s="20">
        <v>0</v>
      </c>
      <c r="Y132" s="20">
        <v>0</v>
      </c>
      <c r="Z132" s="20">
        <v>0</v>
      </c>
      <c r="AA132" s="20">
        <v>0</v>
      </c>
      <c r="AB132" s="20">
        <v>0</v>
      </c>
      <c r="AD132" s="15" t="s">
        <v>646</v>
      </c>
      <c r="AE132" s="14" t="str">
        <f>HYPERLINK("#일위대가!B281", "▶바로가기")</f>
        <v>▶바로가기</v>
      </c>
    </row>
    <row r="133" spans="1:31" ht="30" customHeight="1" x14ac:dyDescent="0.3">
      <c r="A133" s="21" t="s">
        <v>515</v>
      </c>
      <c r="B133" s="21" t="s">
        <v>646</v>
      </c>
      <c r="C133" s="21" t="s">
        <v>646</v>
      </c>
      <c r="D133" s="21" t="s">
        <v>646</v>
      </c>
      <c r="E133" s="11">
        <v>0</v>
      </c>
      <c r="F133" s="11">
        <f>TRUNC(SUMIF(R130:R132, " ", F130:F132),0)</f>
        <v>12576</v>
      </c>
      <c r="G133" s="11">
        <v>0</v>
      </c>
      <c r="H133" s="11">
        <f>TRUNC(SUMIF(R130:R132, " ", H130:H132),0)</f>
        <v>46686</v>
      </c>
      <c r="I133" s="11">
        <v>0</v>
      </c>
      <c r="J133" s="8">
        <f>TRUNC(SUMIF(R130:R132, " ", J130:J132),0)</f>
        <v>0</v>
      </c>
      <c r="K133" s="13" t="s">
        <v>646</v>
      </c>
      <c r="L133" s="11">
        <f>F133+H133+J133</f>
        <v>59262</v>
      </c>
      <c r="M133" s="17"/>
      <c r="N133" s="6" t="s">
        <v>293</v>
      </c>
      <c r="O133" s="23" t="s">
        <v>293</v>
      </c>
    </row>
    <row r="134" spans="1:31" ht="30" customHeight="1" x14ac:dyDescent="0.3">
      <c r="A134" s="21" t="s">
        <v>646</v>
      </c>
      <c r="B134" s="21" t="s">
        <v>646</v>
      </c>
      <c r="C134" s="21" t="s">
        <v>646</v>
      </c>
      <c r="D134" s="21" t="s">
        <v>646</v>
      </c>
      <c r="E134" s="21" t="s">
        <v>646</v>
      </c>
      <c r="F134" s="21" t="s">
        <v>646</v>
      </c>
      <c r="G134" s="21" t="s">
        <v>646</v>
      </c>
      <c r="H134" s="21" t="s">
        <v>646</v>
      </c>
      <c r="I134" s="21" t="s">
        <v>646</v>
      </c>
      <c r="J134" s="21" t="s">
        <v>646</v>
      </c>
      <c r="K134" s="21" t="s">
        <v>646</v>
      </c>
      <c r="L134" s="21" t="s">
        <v>646</v>
      </c>
      <c r="M134" s="21" t="s">
        <v>646</v>
      </c>
    </row>
    <row r="135" spans="1:31" ht="30" customHeight="1" x14ac:dyDescent="0.3">
      <c r="A135" s="109" t="s">
        <v>395</v>
      </c>
      <c r="B135" s="110"/>
      <c r="C135" s="110"/>
      <c r="D135" s="110"/>
      <c r="E135" s="110"/>
      <c r="F135" s="110"/>
      <c r="G135" s="110"/>
      <c r="H135" s="110"/>
      <c r="I135" s="110"/>
      <c r="J135" s="110"/>
      <c r="K135" s="110"/>
      <c r="L135" s="110"/>
      <c r="M135" s="111"/>
      <c r="N135" s="1" t="s">
        <v>558</v>
      </c>
    </row>
    <row r="136" spans="1:31" ht="30" customHeight="1" x14ac:dyDescent="0.3">
      <c r="A136" s="21" t="s">
        <v>255</v>
      </c>
      <c r="B136" s="17" t="s">
        <v>489</v>
      </c>
      <c r="C136" s="21" t="s">
        <v>717</v>
      </c>
      <c r="D136" s="24">
        <v>2.7E-2</v>
      </c>
      <c r="E136" s="11">
        <f>단가대비표!U57</f>
        <v>0</v>
      </c>
      <c r="F136" s="8">
        <f>TRUNC(D136*ROUND(E136,1), 1)</f>
        <v>0</v>
      </c>
      <c r="G136" s="11">
        <f>단가대비표!V57</f>
        <v>277642</v>
      </c>
      <c r="H136" s="8">
        <f>TRUNC(D136*ROUND(G136,1), 1)</f>
        <v>7496.3</v>
      </c>
      <c r="I136" s="11">
        <f>단가대비표!AE57</f>
        <v>0</v>
      </c>
      <c r="J136" s="8">
        <f>TRUNC(D136*ROUND(I136,1), 1)</f>
        <v>0</v>
      </c>
      <c r="K136" s="8">
        <f t="shared" ref="K136:L138" si="18">E136+G136+I136</f>
        <v>277642</v>
      </c>
      <c r="L136" s="8">
        <f t="shared" si="18"/>
        <v>7496.3</v>
      </c>
      <c r="M136" s="17"/>
      <c r="N136" s="1" t="s">
        <v>558</v>
      </c>
      <c r="O136" s="15" t="s">
        <v>429</v>
      </c>
      <c r="P136" s="15" t="s">
        <v>646</v>
      </c>
      <c r="Q136" s="15" t="s">
        <v>646</v>
      </c>
      <c r="R136" s="15" t="s">
        <v>276</v>
      </c>
      <c r="S136" s="20">
        <v>10</v>
      </c>
      <c r="T136" s="15" t="s">
        <v>646</v>
      </c>
      <c r="U136" s="20">
        <v>0</v>
      </c>
      <c r="V136" s="20">
        <v>1</v>
      </c>
      <c r="W136" s="20">
        <v>0</v>
      </c>
      <c r="X136" s="20">
        <v>0</v>
      </c>
      <c r="Y136" s="20">
        <v>0</v>
      </c>
      <c r="Z136" s="20">
        <v>0</v>
      </c>
      <c r="AA136" s="20">
        <v>0</v>
      </c>
      <c r="AB136" s="20">
        <v>0</v>
      </c>
      <c r="AD136" s="15" t="s">
        <v>646</v>
      </c>
      <c r="AE136" s="14" t="str">
        <f>HYPERLINK("#단가대비표!B57", "▶바로가기")</f>
        <v>▶바로가기</v>
      </c>
    </row>
    <row r="137" spans="1:31" ht="30" customHeight="1" x14ac:dyDescent="0.3">
      <c r="A137" s="21" t="s">
        <v>567</v>
      </c>
      <c r="B137" s="17" t="s">
        <v>489</v>
      </c>
      <c r="C137" s="21" t="s">
        <v>717</v>
      </c>
      <c r="D137" s="24">
        <v>1.2999999999999999E-2</v>
      </c>
      <c r="E137" s="11">
        <f>단가대비표!U53</f>
        <v>0</v>
      </c>
      <c r="F137" s="8">
        <f>TRUNC(D137*ROUND(E137,1), 1)</f>
        <v>0</v>
      </c>
      <c r="G137" s="11">
        <f>단가대비표!V53</f>
        <v>172068</v>
      </c>
      <c r="H137" s="8">
        <f>TRUNC(D137*ROUND(G137,1), 1)</f>
        <v>2236.8000000000002</v>
      </c>
      <c r="I137" s="11">
        <f>단가대비표!AE53</f>
        <v>0</v>
      </c>
      <c r="J137" s="8">
        <f>TRUNC(D137*ROUND(I137,1), 1)</f>
        <v>0</v>
      </c>
      <c r="K137" s="8">
        <f t="shared" si="18"/>
        <v>172068</v>
      </c>
      <c r="L137" s="8">
        <f t="shared" si="18"/>
        <v>2236.8000000000002</v>
      </c>
      <c r="M137" s="17"/>
      <c r="N137" s="1" t="s">
        <v>558</v>
      </c>
      <c r="O137" s="15" t="s">
        <v>589</v>
      </c>
      <c r="P137" s="15" t="s">
        <v>646</v>
      </c>
      <c r="Q137" s="15" t="s">
        <v>646</v>
      </c>
      <c r="R137" s="15" t="s">
        <v>276</v>
      </c>
      <c r="S137" s="20">
        <v>20</v>
      </c>
      <c r="T137" s="15" t="s">
        <v>646</v>
      </c>
      <c r="U137" s="20">
        <v>0</v>
      </c>
      <c r="V137" s="20">
        <v>1</v>
      </c>
      <c r="W137" s="20">
        <v>0</v>
      </c>
      <c r="X137" s="20">
        <v>0</v>
      </c>
      <c r="Y137" s="20">
        <v>0</v>
      </c>
      <c r="Z137" s="20">
        <v>0</v>
      </c>
      <c r="AA137" s="20">
        <v>0</v>
      </c>
      <c r="AB137" s="20">
        <v>0</v>
      </c>
      <c r="AD137" s="15" t="s">
        <v>646</v>
      </c>
      <c r="AE137" s="14" t="str">
        <f>HYPERLINK("#단가대비표!B53", "▶바로가기")</f>
        <v>▶바로가기</v>
      </c>
    </row>
    <row r="138" spans="1:31" ht="30" customHeight="1" x14ac:dyDescent="0.3">
      <c r="A138" s="21" t="s">
        <v>233</v>
      </c>
      <c r="B138" s="17" t="s">
        <v>528</v>
      </c>
      <c r="C138" s="21" t="s">
        <v>738</v>
      </c>
      <c r="D138" s="24">
        <v>1</v>
      </c>
      <c r="E138" s="8">
        <f>TRUNC(SUMIF(V136:V138, RIGHTB(O138, 1), H136:H138)*U138, 1)</f>
        <v>194.6</v>
      </c>
      <c r="F138" s="8">
        <f>TRUNC(D138*E138,1)</f>
        <v>194.6</v>
      </c>
      <c r="G138" s="8">
        <v>0</v>
      </c>
      <c r="H138" s="8">
        <f>TRUNC(D138*G138,1)</f>
        <v>0</v>
      </c>
      <c r="I138" s="8">
        <v>0</v>
      </c>
      <c r="J138" s="8">
        <f>TRUNC(D138*I138,1)</f>
        <v>0</v>
      </c>
      <c r="K138" s="8">
        <f t="shared" si="18"/>
        <v>194.6</v>
      </c>
      <c r="L138" s="8">
        <f t="shared" si="18"/>
        <v>194.6</v>
      </c>
      <c r="M138" s="17"/>
      <c r="N138" s="1" t="s">
        <v>558</v>
      </c>
      <c r="O138" s="15" t="s">
        <v>456</v>
      </c>
      <c r="P138" s="15" t="s">
        <v>646</v>
      </c>
      <c r="Q138" s="15" t="s">
        <v>646</v>
      </c>
      <c r="R138" s="15" t="s">
        <v>276</v>
      </c>
      <c r="S138" s="20">
        <v>30</v>
      </c>
      <c r="T138" s="15" t="s">
        <v>573</v>
      </c>
      <c r="U138" s="20">
        <v>0.02</v>
      </c>
      <c r="V138" s="20">
        <v>0</v>
      </c>
      <c r="W138" s="20">
        <v>0</v>
      </c>
      <c r="X138" s="20">
        <v>0</v>
      </c>
      <c r="Y138" s="20">
        <v>0</v>
      </c>
      <c r="Z138" s="20">
        <v>0</v>
      </c>
      <c r="AA138" s="20">
        <v>0</v>
      </c>
      <c r="AB138" s="20">
        <v>0</v>
      </c>
      <c r="AD138" s="15" t="s">
        <v>646</v>
      </c>
      <c r="AE138" s="15" t="s">
        <v>646</v>
      </c>
    </row>
    <row r="139" spans="1:31" ht="30" customHeight="1" x14ac:dyDescent="0.3">
      <c r="A139" s="21" t="s">
        <v>515</v>
      </c>
      <c r="B139" s="21" t="s">
        <v>646</v>
      </c>
      <c r="C139" s="21" t="s">
        <v>646</v>
      </c>
      <c r="D139" s="21" t="s">
        <v>646</v>
      </c>
      <c r="E139" s="11">
        <v>0</v>
      </c>
      <c r="F139" s="11">
        <f>TRUNC(SUMIF(R136:R138, " ", F136:F138),0)</f>
        <v>194</v>
      </c>
      <c r="G139" s="11">
        <v>0</v>
      </c>
      <c r="H139" s="11">
        <f>TRUNC(SUMIF(R136:R138, " ", H136:H138),0)</f>
        <v>9733</v>
      </c>
      <c r="I139" s="11">
        <v>0</v>
      </c>
      <c r="J139" s="8">
        <f>TRUNC(SUMIF(R136:R138, " ", J136:J138),0)</f>
        <v>0</v>
      </c>
      <c r="K139" s="13" t="s">
        <v>646</v>
      </c>
      <c r="L139" s="11">
        <f>F139+H139+J139</f>
        <v>9927</v>
      </c>
      <c r="M139" s="17"/>
      <c r="N139" s="6" t="s">
        <v>293</v>
      </c>
      <c r="O139" s="23" t="s">
        <v>293</v>
      </c>
    </row>
    <row r="140" spans="1:31" ht="30" customHeight="1" x14ac:dyDescent="0.3">
      <c r="A140" s="21" t="s">
        <v>646</v>
      </c>
      <c r="B140" s="21" t="s">
        <v>646</v>
      </c>
      <c r="C140" s="21" t="s">
        <v>646</v>
      </c>
      <c r="D140" s="21" t="s">
        <v>646</v>
      </c>
      <c r="E140" s="21" t="s">
        <v>646</v>
      </c>
      <c r="F140" s="21" t="s">
        <v>646</v>
      </c>
      <c r="G140" s="21" t="s">
        <v>646</v>
      </c>
      <c r="H140" s="21" t="s">
        <v>646</v>
      </c>
      <c r="I140" s="21" t="s">
        <v>646</v>
      </c>
      <c r="J140" s="21" t="s">
        <v>646</v>
      </c>
      <c r="K140" s="21" t="s">
        <v>646</v>
      </c>
      <c r="L140" s="21" t="s">
        <v>646</v>
      </c>
      <c r="M140" s="21" t="s">
        <v>646</v>
      </c>
    </row>
    <row r="141" spans="1:31" ht="30" customHeight="1" x14ac:dyDescent="0.3">
      <c r="A141" s="109" t="s">
        <v>57</v>
      </c>
      <c r="B141" s="110"/>
      <c r="C141" s="110"/>
      <c r="D141" s="110"/>
      <c r="E141" s="110"/>
      <c r="F141" s="110"/>
      <c r="G141" s="110"/>
      <c r="H141" s="110"/>
      <c r="I141" s="110"/>
      <c r="J141" s="110"/>
      <c r="K141" s="110"/>
      <c r="L141" s="110"/>
      <c r="M141" s="111"/>
      <c r="N141" s="1" t="s">
        <v>407</v>
      </c>
    </row>
    <row r="142" spans="1:31" ht="30" customHeight="1" x14ac:dyDescent="0.3">
      <c r="A142" s="21" t="s">
        <v>255</v>
      </c>
      <c r="B142" s="17" t="s">
        <v>489</v>
      </c>
      <c r="C142" s="21" t="s">
        <v>717</v>
      </c>
      <c r="D142" s="24">
        <v>0.05</v>
      </c>
      <c r="E142" s="11">
        <f>단가대비표!U57</f>
        <v>0</v>
      </c>
      <c r="F142" s="8">
        <f>TRUNC(D142*ROUND(E142,1), 1)</f>
        <v>0</v>
      </c>
      <c r="G142" s="11">
        <f>단가대비표!V57</f>
        <v>277642</v>
      </c>
      <c r="H142" s="8">
        <f>TRUNC(D142*ROUND(G142,1), 1)</f>
        <v>13882.1</v>
      </c>
      <c r="I142" s="11">
        <f>단가대비표!AE57</f>
        <v>0</v>
      </c>
      <c r="J142" s="8">
        <f>TRUNC(D142*ROUND(I142,1), 1)</f>
        <v>0</v>
      </c>
      <c r="K142" s="8">
        <f t="shared" ref="K142:L144" si="19">E142+G142+I142</f>
        <v>277642</v>
      </c>
      <c r="L142" s="8">
        <f t="shared" si="19"/>
        <v>13882.1</v>
      </c>
      <c r="M142" s="17"/>
      <c r="N142" s="1" t="s">
        <v>407</v>
      </c>
      <c r="O142" s="15" t="s">
        <v>429</v>
      </c>
      <c r="P142" s="15" t="s">
        <v>646</v>
      </c>
      <c r="Q142" s="15" t="s">
        <v>646</v>
      </c>
      <c r="R142" s="15" t="s">
        <v>276</v>
      </c>
      <c r="S142" s="20">
        <v>10</v>
      </c>
      <c r="T142" s="15" t="s">
        <v>646</v>
      </c>
      <c r="U142" s="20">
        <v>0</v>
      </c>
      <c r="V142" s="20">
        <v>1</v>
      </c>
      <c r="W142" s="20">
        <v>0</v>
      </c>
      <c r="X142" s="20">
        <v>0</v>
      </c>
      <c r="Y142" s="20">
        <v>0</v>
      </c>
      <c r="Z142" s="20">
        <v>0</v>
      </c>
      <c r="AA142" s="20">
        <v>0</v>
      </c>
      <c r="AB142" s="20">
        <v>0</v>
      </c>
      <c r="AD142" s="15" t="s">
        <v>646</v>
      </c>
      <c r="AE142" s="14" t="str">
        <f>HYPERLINK("#단가대비표!B57", "▶바로가기")</f>
        <v>▶바로가기</v>
      </c>
    </row>
    <row r="143" spans="1:31" ht="30" customHeight="1" x14ac:dyDescent="0.3">
      <c r="A143" s="21" t="s">
        <v>567</v>
      </c>
      <c r="B143" s="17" t="s">
        <v>489</v>
      </c>
      <c r="C143" s="21" t="s">
        <v>717</v>
      </c>
      <c r="D143" s="24">
        <v>2.5000000000000001E-2</v>
      </c>
      <c r="E143" s="11">
        <f>단가대비표!U53</f>
        <v>0</v>
      </c>
      <c r="F143" s="8">
        <f>TRUNC(D143*ROUND(E143,1), 1)</f>
        <v>0</v>
      </c>
      <c r="G143" s="11">
        <f>단가대비표!V53</f>
        <v>172068</v>
      </c>
      <c r="H143" s="8">
        <f>TRUNC(D143*ROUND(G143,1), 1)</f>
        <v>4301.7</v>
      </c>
      <c r="I143" s="11">
        <f>단가대비표!AE53</f>
        <v>0</v>
      </c>
      <c r="J143" s="8">
        <f>TRUNC(D143*ROUND(I143,1), 1)</f>
        <v>0</v>
      </c>
      <c r="K143" s="8">
        <f t="shared" si="19"/>
        <v>172068</v>
      </c>
      <c r="L143" s="8">
        <f t="shared" si="19"/>
        <v>4301.7</v>
      </c>
      <c r="M143" s="17"/>
      <c r="N143" s="1" t="s">
        <v>407</v>
      </c>
      <c r="O143" s="15" t="s">
        <v>589</v>
      </c>
      <c r="P143" s="15" t="s">
        <v>646</v>
      </c>
      <c r="Q143" s="15" t="s">
        <v>646</v>
      </c>
      <c r="R143" s="15" t="s">
        <v>276</v>
      </c>
      <c r="S143" s="20">
        <v>20</v>
      </c>
      <c r="T143" s="15" t="s">
        <v>646</v>
      </c>
      <c r="U143" s="20">
        <v>0</v>
      </c>
      <c r="V143" s="20">
        <v>1</v>
      </c>
      <c r="W143" s="20">
        <v>0</v>
      </c>
      <c r="X143" s="20">
        <v>0</v>
      </c>
      <c r="Y143" s="20">
        <v>0</v>
      </c>
      <c r="Z143" s="20">
        <v>0</v>
      </c>
      <c r="AA143" s="20">
        <v>0</v>
      </c>
      <c r="AB143" s="20">
        <v>0</v>
      </c>
      <c r="AD143" s="15" t="s">
        <v>646</v>
      </c>
      <c r="AE143" s="14" t="str">
        <f>HYPERLINK("#단가대비표!B53", "▶바로가기")</f>
        <v>▶바로가기</v>
      </c>
    </row>
    <row r="144" spans="1:31" ht="30" customHeight="1" x14ac:dyDescent="0.3">
      <c r="A144" s="21" t="s">
        <v>233</v>
      </c>
      <c r="B144" s="17" t="s">
        <v>528</v>
      </c>
      <c r="C144" s="21" t="s">
        <v>738</v>
      </c>
      <c r="D144" s="24">
        <v>1</v>
      </c>
      <c r="E144" s="8">
        <f>TRUNC(SUMIF(V142:V144, RIGHTB(O144, 1), H142:H144)*U144, 1)</f>
        <v>363.6</v>
      </c>
      <c r="F144" s="8">
        <f>TRUNC(D144*E144,1)</f>
        <v>363.6</v>
      </c>
      <c r="G144" s="8">
        <v>0</v>
      </c>
      <c r="H144" s="8">
        <f>TRUNC(D144*G144,1)</f>
        <v>0</v>
      </c>
      <c r="I144" s="8">
        <v>0</v>
      </c>
      <c r="J144" s="8">
        <f>TRUNC(D144*I144,1)</f>
        <v>0</v>
      </c>
      <c r="K144" s="8">
        <f t="shared" si="19"/>
        <v>363.6</v>
      </c>
      <c r="L144" s="8">
        <f t="shared" si="19"/>
        <v>363.6</v>
      </c>
      <c r="M144" s="17"/>
      <c r="N144" s="1" t="s">
        <v>407</v>
      </c>
      <c r="O144" s="15" t="s">
        <v>456</v>
      </c>
      <c r="P144" s="15" t="s">
        <v>646</v>
      </c>
      <c r="Q144" s="15" t="s">
        <v>646</v>
      </c>
      <c r="R144" s="15" t="s">
        <v>276</v>
      </c>
      <c r="S144" s="20">
        <v>30</v>
      </c>
      <c r="T144" s="15" t="s">
        <v>573</v>
      </c>
      <c r="U144" s="20">
        <v>0.02</v>
      </c>
      <c r="V144" s="20">
        <v>0</v>
      </c>
      <c r="W144" s="20">
        <v>0</v>
      </c>
      <c r="X144" s="20">
        <v>0</v>
      </c>
      <c r="Y144" s="20">
        <v>0</v>
      </c>
      <c r="Z144" s="20">
        <v>0</v>
      </c>
      <c r="AA144" s="20">
        <v>0</v>
      </c>
      <c r="AB144" s="20">
        <v>0</v>
      </c>
      <c r="AD144" s="15" t="s">
        <v>646</v>
      </c>
      <c r="AE144" s="15" t="s">
        <v>646</v>
      </c>
    </row>
    <row r="145" spans="1:31" ht="30" customHeight="1" x14ac:dyDescent="0.3">
      <c r="A145" s="21" t="s">
        <v>515</v>
      </c>
      <c r="B145" s="21" t="s">
        <v>646</v>
      </c>
      <c r="C145" s="21" t="s">
        <v>646</v>
      </c>
      <c r="D145" s="21" t="s">
        <v>646</v>
      </c>
      <c r="E145" s="11">
        <v>0</v>
      </c>
      <c r="F145" s="11">
        <f>TRUNC(SUMIF(R142:R144, " ", F142:F144),0)</f>
        <v>363</v>
      </c>
      <c r="G145" s="11">
        <v>0</v>
      </c>
      <c r="H145" s="11">
        <f>TRUNC(SUMIF(R142:R144, " ", H142:H144),0)</f>
        <v>18183</v>
      </c>
      <c r="I145" s="11">
        <v>0</v>
      </c>
      <c r="J145" s="8">
        <f>TRUNC(SUMIF(R142:R144, " ", J142:J144),0)</f>
        <v>0</v>
      </c>
      <c r="K145" s="13" t="s">
        <v>646</v>
      </c>
      <c r="L145" s="11">
        <f>F145+H145+J145</f>
        <v>18546</v>
      </c>
      <c r="M145" s="17"/>
      <c r="N145" s="6" t="s">
        <v>293</v>
      </c>
      <c r="O145" s="23" t="s">
        <v>293</v>
      </c>
    </row>
    <row r="146" spans="1:31" ht="30" customHeight="1" x14ac:dyDescent="0.3">
      <c r="A146" s="21" t="s">
        <v>646</v>
      </c>
      <c r="B146" s="21" t="s">
        <v>646</v>
      </c>
      <c r="C146" s="21" t="s">
        <v>646</v>
      </c>
      <c r="D146" s="21" t="s">
        <v>646</v>
      </c>
      <c r="E146" s="21" t="s">
        <v>646</v>
      </c>
      <c r="F146" s="21" t="s">
        <v>646</v>
      </c>
      <c r="G146" s="21" t="s">
        <v>646</v>
      </c>
      <c r="H146" s="21" t="s">
        <v>646</v>
      </c>
      <c r="I146" s="21" t="s">
        <v>646</v>
      </c>
      <c r="J146" s="21" t="s">
        <v>646</v>
      </c>
      <c r="K146" s="21" t="s">
        <v>646</v>
      </c>
      <c r="L146" s="21" t="s">
        <v>646</v>
      </c>
      <c r="M146" s="21" t="s">
        <v>646</v>
      </c>
    </row>
    <row r="147" spans="1:31" ht="30" customHeight="1" x14ac:dyDescent="0.3">
      <c r="A147" s="109" t="s">
        <v>36</v>
      </c>
      <c r="B147" s="110"/>
      <c r="C147" s="110"/>
      <c r="D147" s="110"/>
      <c r="E147" s="110"/>
      <c r="F147" s="110"/>
      <c r="G147" s="110"/>
      <c r="H147" s="110"/>
      <c r="I147" s="110"/>
      <c r="J147" s="110"/>
      <c r="K147" s="110"/>
      <c r="L147" s="110"/>
      <c r="M147" s="111"/>
      <c r="N147" s="1" t="s">
        <v>202</v>
      </c>
    </row>
    <row r="148" spans="1:31" ht="30" customHeight="1" x14ac:dyDescent="0.3">
      <c r="A148" s="21" t="s">
        <v>709</v>
      </c>
      <c r="B148" s="17" t="s">
        <v>489</v>
      </c>
      <c r="C148" s="21" t="s">
        <v>717</v>
      </c>
      <c r="D148" s="24">
        <v>0.05</v>
      </c>
      <c r="E148" s="11">
        <f>단가대비표!U60</f>
        <v>0</v>
      </c>
      <c r="F148" s="8">
        <f>TRUNC(D148*ROUND(E148,1), 1)</f>
        <v>0</v>
      </c>
      <c r="G148" s="11">
        <f>단가대비표!V60</f>
        <v>256883</v>
      </c>
      <c r="H148" s="8">
        <f>TRUNC(D148*ROUND(G148,1), 1)</f>
        <v>12844.1</v>
      </c>
      <c r="I148" s="11">
        <f>단가대비표!AE60</f>
        <v>0</v>
      </c>
      <c r="J148" s="8">
        <f>TRUNC(D148*ROUND(I148,1), 1)</f>
        <v>0</v>
      </c>
      <c r="K148" s="8">
        <f t="shared" ref="K148:L150" si="20">E148+G148+I148</f>
        <v>256883</v>
      </c>
      <c r="L148" s="8">
        <f t="shared" si="20"/>
        <v>12844.1</v>
      </c>
      <c r="M148" s="17"/>
      <c r="N148" s="1" t="s">
        <v>202</v>
      </c>
      <c r="O148" s="15" t="s">
        <v>108</v>
      </c>
      <c r="P148" s="15" t="s">
        <v>646</v>
      </c>
      <c r="Q148" s="15" t="s">
        <v>646</v>
      </c>
      <c r="R148" s="15" t="s">
        <v>276</v>
      </c>
      <c r="S148" s="20">
        <v>10</v>
      </c>
      <c r="T148" s="15" t="s">
        <v>646</v>
      </c>
      <c r="U148" s="20">
        <v>0</v>
      </c>
      <c r="V148" s="20">
        <v>0</v>
      </c>
      <c r="W148" s="20">
        <v>0</v>
      </c>
      <c r="X148" s="20">
        <v>0</v>
      </c>
      <c r="Y148" s="20">
        <v>0</v>
      </c>
      <c r="Z148" s="20">
        <v>0</v>
      </c>
      <c r="AA148" s="20">
        <v>0</v>
      </c>
      <c r="AB148" s="20">
        <v>0</v>
      </c>
      <c r="AD148" s="15" t="s">
        <v>646</v>
      </c>
      <c r="AE148" s="14" t="str">
        <f>HYPERLINK("#단가대비표!B60", "▶바로가기")</f>
        <v>▶바로가기</v>
      </c>
    </row>
    <row r="149" spans="1:31" ht="30" customHeight="1" x14ac:dyDescent="0.3">
      <c r="A149" s="21" t="s">
        <v>567</v>
      </c>
      <c r="B149" s="17" t="s">
        <v>489</v>
      </c>
      <c r="C149" s="21" t="s">
        <v>717</v>
      </c>
      <c r="D149" s="24">
        <v>2.5000000000000001E-2</v>
      </c>
      <c r="E149" s="11">
        <f>단가대비표!U53</f>
        <v>0</v>
      </c>
      <c r="F149" s="8">
        <f>TRUNC(D149*ROUND(E149,1), 1)</f>
        <v>0</v>
      </c>
      <c r="G149" s="11">
        <f>단가대비표!V53</f>
        <v>172068</v>
      </c>
      <c r="H149" s="8">
        <f>TRUNC(D149*ROUND(G149,1), 1)</f>
        <v>4301.7</v>
      </c>
      <c r="I149" s="11">
        <f>단가대비표!AE53</f>
        <v>0</v>
      </c>
      <c r="J149" s="8">
        <f>TRUNC(D149*ROUND(I149,1), 1)</f>
        <v>0</v>
      </c>
      <c r="K149" s="8">
        <f t="shared" si="20"/>
        <v>172068</v>
      </c>
      <c r="L149" s="8">
        <f t="shared" si="20"/>
        <v>4301.7</v>
      </c>
      <c r="M149" s="17"/>
      <c r="N149" s="1" t="s">
        <v>202</v>
      </c>
      <c r="O149" s="15" t="s">
        <v>589</v>
      </c>
      <c r="P149" s="15" t="s">
        <v>646</v>
      </c>
      <c r="Q149" s="15" t="s">
        <v>646</v>
      </c>
      <c r="R149" s="15" t="s">
        <v>276</v>
      </c>
      <c r="S149" s="20">
        <v>20</v>
      </c>
      <c r="T149" s="15" t="s">
        <v>646</v>
      </c>
      <c r="U149" s="20">
        <v>0</v>
      </c>
      <c r="V149" s="20">
        <v>0</v>
      </c>
      <c r="W149" s="20">
        <v>0</v>
      </c>
      <c r="X149" s="20">
        <v>0</v>
      </c>
      <c r="Y149" s="20">
        <v>0</v>
      </c>
      <c r="Z149" s="20">
        <v>0</v>
      </c>
      <c r="AA149" s="20">
        <v>0</v>
      </c>
      <c r="AB149" s="20">
        <v>0</v>
      </c>
      <c r="AD149" s="15" t="s">
        <v>646</v>
      </c>
      <c r="AE149" s="14" t="str">
        <f>HYPERLINK("#단가대비표!B53", "▶바로가기")</f>
        <v>▶바로가기</v>
      </c>
    </row>
    <row r="150" spans="1:31" ht="30" customHeight="1" x14ac:dyDescent="0.3">
      <c r="A150" s="21" t="s">
        <v>572</v>
      </c>
      <c r="B150" s="17" t="s">
        <v>707</v>
      </c>
      <c r="C150" s="21" t="s">
        <v>107</v>
      </c>
      <c r="D150" s="24">
        <v>0.34499999999999997</v>
      </c>
      <c r="E150" s="11">
        <f>단가대비표!U28</f>
        <v>2520</v>
      </c>
      <c r="F150" s="8">
        <f>TRUNC(D150*ROUND(E150,1), 1)</f>
        <v>869.4</v>
      </c>
      <c r="G150" s="11">
        <f>단가대비표!V28</f>
        <v>0</v>
      </c>
      <c r="H150" s="8">
        <f>TRUNC(D150*ROUND(G150,1), 1)</f>
        <v>0</v>
      </c>
      <c r="I150" s="11">
        <f>단가대비표!AE28</f>
        <v>0</v>
      </c>
      <c r="J150" s="8">
        <f>TRUNC(D150*ROUND(I150,1), 1)</f>
        <v>0</v>
      </c>
      <c r="K150" s="8">
        <f t="shared" si="20"/>
        <v>2520</v>
      </c>
      <c r="L150" s="8">
        <f t="shared" si="20"/>
        <v>869.4</v>
      </c>
      <c r="M150" s="17"/>
      <c r="N150" s="1" t="s">
        <v>202</v>
      </c>
      <c r="O150" s="15" t="s">
        <v>257</v>
      </c>
      <c r="P150" s="15" t="s">
        <v>646</v>
      </c>
      <c r="Q150" s="15" t="s">
        <v>646</v>
      </c>
      <c r="R150" s="15" t="s">
        <v>276</v>
      </c>
      <c r="S150" s="20">
        <v>30</v>
      </c>
      <c r="T150" s="15" t="s">
        <v>646</v>
      </c>
      <c r="U150" s="20">
        <v>0</v>
      </c>
      <c r="V150" s="20">
        <v>0</v>
      </c>
      <c r="W150" s="20">
        <v>0</v>
      </c>
      <c r="X150" s="20">
        <v>0</v>
      </c>
      <c r="Y150" s="20">
        <v>0</v>
      </c>
      <c r="Z150" s="20">
        <v>0</v>
      </c>
      <c r="AA150" s="20">
        <v>0</v>
      </c>
      <c r="AB150" s="20">
        <v>0</v>
      </c>
      <c r="AD150" s="15" t="s">
        <v>646</v>
      </c>
      <c r="AE150" s="14" t="str">
        <f>HYPERLINK("#단가대비표!B28", "▶바로가기")</f>
        <v>▶바로가기</v>
      </c>
    </row>
    <row r="151" spans="1:31" ht="30" customHeight="1" x14ac:dyDescent="0.3">
      <c r="A151" s="21" t="s">
        <v>515</v>
      </c>
      <c r="B151" s="21" t="s">
        <v>646</v>
      </c>
      <c r="C151" s="21" t="s">
        <v>646</v>
      </c>
      <c r="D151" s="21" t="s">
        <v>646</v>
      </c>
      <c r="E151" s="11">
        <v>0</v>
      </c>
      <c r="F151" s="11">
        <f>TRUNC(SUMIF(R148:R150, " ", F148:F150),0)</f>
        <v>869</v>
      </c>
      <c r="G151" s="11">
        <v>0</v>
      </c>
      <c r="H151" s="11">
        <f>TRUNC(SUMIF(R148:R150, " ", H148:H150),0)</f>
        <v>17145</v>
      </c>
      <c r="I151" s="11">
        <v>0</v>
      </c>
      <c r="J151" s="8">
        <f>TRUNC(SUMIF(R148:R150, " ", J148:J150),0)</f>
        <v>0</v>
      </c>
      <c r="K151" s="13" t="s">
        <v>646</v>
      </c>
      <c r="L151" s="11">
        <f>F151+H151+J151</f>
        <v>18014</v>
      </c>
      <c r="M151" s="17"/>
      <c r="N151" s="6" t="s">
        <v>293</v>
      </c>
      <c r="O151" s="23" t="s">
        <v>293</v>
      </c>
    </row>
    <row r="152" spans="1:31" ht="30" customHeight="1" x14ac:dyDescent="0.3">
      <c r="A152" s="21" t="s">
        <v>646</v>
      </c>
      <c r="B152" s="21" t="s">
        <v>646</v>
      </c>
      <c r="C152" s="21" t="s">
        <v>646</v>
      </c>
      <c r="D152" s="21" t="s">
        <v>646</v>
      </c>
      <c r="E152" s="21" t="s">
        <v>646</v>
      </c>
      <c r="F152" s="21" t="s">
        <v>646</v>
      </c>
      <c r="G152" s="21" t="s">
        <v>646</v>
      </c>
      <c r="H152" s="21" t="s">
        <v>646</v>
      </c>
      <c r="I152" s="21" t="s">
        <v>646</v>
      </c>
      <c r="J152" s="21" t="s">
        <v>646</v>
      </c>
      <c r="K152" s="21" t="s">
        <v>646</v>
      </c>
      <c r="L152" s="21" t="s">
        <v>646</v>
      </c>
      <c r="M152" s="21" t="s">
        <v>646</v>
      </c>
    </row>
    <row r="153" spans="1:31" ht="30" customHeight="1" x14ac:dyDescent="0.3">
      <c r="A153" s="109" t="s">
        <v>775</v>
      </c>
      <c r="B153" s="110"/>
      <c r="C153" s="110"/>
      <c r="D153" s="110"/>
      <c r="E153" s="110"/>
      <c r="F153" s="110"/>
      <c r="G153" s="110"/>
      <c r="H153" s="110"/>
      <c r="I153" s="110"/>
      <c r="J153" s="110"/>
      <c r="K153" s="110"/>
      <c r="L153" s="110"/>
      <c r="M153" s="111"/>
      <c r="N153" s="1" t="s">
        <v>366</v>
      </c>
    </row>
    <row r="154" spans="1:31" ht="30" customHeight="1" x14ac:dyDescent="0.3">
      <c r="A154" s="21" t="s">
        <v>709</v>
      </c>
      <c r="B154" s="17" t="s">
        <v>489</v>
      </c>
      <c r="C154" s="21" t="s">
        <v>717</v>
      </c>
      <c r="D154" s="24">
        <v>8.9999999999999993E-3</v>
      </c>
      <c r="E154" s="11">
        <f>단가대비표!U60</f>
        <v>0</v>
      </c>
      <c r="F154" s="8">
        <f>TRUNC(D154*ROUND(E154,1), 1)</f>
        <v>0</v>
      </c>
      <c r="G154" s="11">
        <f>단가대비표!V60</f>
        <v>256883</v>
      </c>
      <c r="H154" s="8">
        <f>TRUNC(D154*ROUND(G154,1), 1)</f>
        <v>2311.9</v>
      </c>
      <c r="I154" s="11">
        <f>단가대비표!AE60</f>
        <v>0</v>
      </c>
      <c r="J154" s="8">
        <f>TRUNC(D154*ROUND(I154,1), 1)</f>
        <v>0</v>
      </c>
      <c r="K154" s="8">
        <f>E154+G154+I154</f>
        <v>256883</v>
      </c>
      <c r="L154" s="8">
        <f>F154+H154+J154</f>
        <v>2311.9</v>
      </c>
      <c r="M154" s="17"/>
      <c r="N154" s="1" t="s">
        <v>366</v>
      </c>
      <c r="O154" s="15" t="s">
        <v>108</v>
      </c>
      <c r="P154" s="15" t="s">
        <v>646</v>
      </c>
      <c r="Q154" s="15" t="s">
        <v>646</v>
      </c>
      <c r="R154" s="15" t="s">
        <v>276</v>
      </c>
      <c r="S154" s="20">
        <v>10</v>
      </c>
      <c r="T154" s="15" t="s">
        <v>646</v>
      </c>
      <c r="U154" s="20">
        <v>0</v>
      </c>
      <c r="V154" s="20">
        <v>1</v>
      </c>
      <c r="W154" s="20">
        <v>0</v>
      </c>
      <c r="X154" s="20">
        <v>0</v>
      </c>
      <c r="Y154" s="20">
        <v>0</v>
      </c>
      <c r="Z154" s="20">
        <v>0</v>
      </c>
      <c r="AA154" s="20">
        <v>0</v>
      </c>
      <c r="AB154" s="20">
        <v>0</v>
      </c>
      <c r="AD154" s="15" t="s">
        <v>646</v>
      </c>
      <c r="AE154" s="14" t="str">
        <f>HYPERLINK("#단가대비표!B60", "▶바로가기")</f>
        <v>▶바로가기</v>
      </c>
    </row>
    <row r="155" spans="1:31" ht="30" customHeight="1" x14ac:dyDescent="0.3">
      <c r="A155" s="21" t="s">
        <v>233</v>
      </c>
      <c r="B155" s="17" t="s">
        <v>99</v>
      </c>
      <c r="C155" s="21" t="s">
        <v>738</v>
      </c>
      <c r="D155" s="24">
        <v>1</v>
      </c>
      <c r="E155" s="8">
        <f>TRUNC(SUMIF(V154:V155, RIGHTB(O155, 1), H154:H155)*U155, 1)</f>
        <v>92.4</v>
      </c>
      <c r="F155" s="8">
        <f>TRUNC(D155*E155,1)</f>
        <v>92.4</v>
      </c>
      <c r="G155" s="8">
        <v>0</v>
      </c>
      <c r="H155" s="8">
        <f>TRUNC(D155*G155,1)</f>
        <v>0</v>
      </c>
      <c r="I155" s="8">
        <v>0</v>
      </c>
      <c r="J155" s="8">
        <f>TRUNC(D155*I155,1)</f>
        <v>0</v>
      </c>
      <c r="K155" s="8">
        <f>E155+G155+I155</f>
        <v>92.4</v>
      </c>
      <c r="L155" s="8">
        <f>F155+H155+J155</f>
        <v>92.4</v>
      </c>
      <c r="M155" s="17"/>
      <c r="N155" s="1" t="s">
        <v>366</v>
      </c>
      <c r="O155" s="15" t="s">
        <v>456</v>
      </c>
      <c r="P155" s="15" t="s">
        <v>646</v>
      </c>
      <c r="Q155" s="15" t="s">
        <v>646</v>
      </c>
      <c r="R155" s="15" t="s">
        <v>276</v>
      </c>
      <c r="S155" s="20">
        <v>20</v>
      </c>
      <c r="T155" s="15" t="s">
        <v>628</v>
      </c>
      <c r="U155" s="20">
        <v>0.04</v>
      </c>
      <c r="V155" s="20">
        <v>0</v>
      </c>
      <c r="W155" s="20">
        <v>0</v>
      </c>
      <c r="X155" s="20">
        <v>0</v>
      </c>
      <c r="Y155" s="20">
        <v>0</v>
      </c>
      <c r="Z155" s="20">
        <v>0</v>
      </c>
      <c r="AA155" s="20">
        <v>0</v>
      </c>
      <c r="AB155" s="20">
        <v>0</v>
      </c>
      <c r="AD155" s="15" t="s">
        <v>646</v>
      </c>
      <c r="AE155" s="15" t="s">
        <v>646</v>
      </c>
    </row>
    <row r="156" spans="1:31" ht="30" customHeight="1" x14ac:dyDescent="0.3">
      <c r="A156" s="21" t="s">
        <v>515</v>
      </c>
      <c r="B156" s="21" t="s">
        <v>646</v>
      </c>
      <c r="C156" s="21" t="s">
        <v>646</v>
      </c>
      <c r="D156" s="21" t="s">
        <v>646</v>
      </c>
      <c r="E156" s="11">
        <v>0</v>
      </c>
      <c r="F156" s="11">
        <f>TRUNC(SUMIF(R154:R155, " ", F154:F155),0)</f>
        <v>92</v>
      </c>
      <c r="G156" s="11">
        <v>0</v>
      </c>
      <c r="H156" s="11">
        <f>TRUNC(SUMIF(R154:R155, " ", H154:H155),0)</f>
        <v>2311</v>
      </c>
      <c r="I156" s="11">
        <v>0</v>
      </c>
      <c r="J156" s="8">
        <f>TRUNC(SUMIF(R154:R155, " ", J154:J155),0)</f>
        <v>0</v>
      </c>
      <c r="K156" s="13" t="s">
        <v>646</v>
      </c>
      <c r="L156" s="11">
        <f>F156+H156+J156</f>
        <v>2403</v>
      </c>
      <c r="M156" s="17"/>
      <c r="N156" s="6" t="s">
        <v>293</v>
      </c>
      <c r="O156" s="23" t="s">
        <v>293</v>
      </c>
    </row>
    <row r="157" spans="1:31" ht="30" customHeight="1" x14ac:dyDescent="0.3">
      <c r="A157" s="21" t="s">
        <v>646</v>
      </c>
      <c r="B157" s="21" t="s">
        <v>646</v>
      </c>
      <c r="C157" s="21" t="s">
        <v>646</v>
      </c>
      <c r="D157" s="21" t="s">
        <v>646</v>
      </c>
      <c r="E157" s="21" t="s">
        <v>646</v>
      </c>
      <c r="F157" s="21" t="s">
        <v>646</v>
      </c>
      <c r="G157" s="21" t="s">
        <v>646</v>
      </c>
      <c r="H157" s="21" t="s">
        <v>646</v>
      </c>
      <c r="I157" s="21" t="s">
        <v>646</v>
      </c>
      <c r="J157" s="21" t="s">
        <v>646</v>
      </c>
      <c r="K157" s="21" t="s">
        <v>646</v>
      </c>
      <c r="L157" s="21" t="s">
        <v>646</v>
      </c>
      <c r="M157" s="21" t="s">
        <v>646</v>
      </c>
    </row>
    <row r="158" spans="1:31" ht="30" customHeight="1" x14ac:dyDescent="0.3">
      <c r="A158" s="109" t="s">
        <v>742</v>
      </c>
      <c r="B158" s="110"/>
      <c r="C158" s="110"/>
      <c r="D158" s="110"/>
      <c r="E158" s="110"/>
      <c r="F158" s="110"/>
      <c r="G158" s="110"/>
      <c r="H158" s="110"/>
      <c r="I158" s="110"/>
      <c r="J158" s="110"/>
      <c r="K158" s="110"/>
      <c r="L158" s="110"/>
      <c r="M158" s="111"/>
      <c r="N158" s="1" t="s">
        <v>594</v>
      </c>
    </row>
    <row r="159" spans="1:31" ht="30" customHeight="1" x14ac:dyDescent="0.3">
      <c r="A159" s="21" t="s">
        <v>709</v>
      </c>
      <c r="B159" s="17" t="s">
        <v>489</v>
      </c>
      <c r="C159" s="21" t="s">
        <v>717</v>
      </c>
      <c r="D159" s="24">
        <v>3.3000000000000002E-2</v>
      </c>
      <c r="E159" s="11">
        <f>단가대비표!U60</f>
        <v>0</v>
      </c>
      <c r="F159" s="8">
        <f>TRUNC(D159*ROUND(E159,1), 1)</f>
        <v>0</v>
      </c>
      <c r="G159" s="11">
        <f>단가대비표!V60</f>
        <v>256883</v>
      </c>
      <c r="H159" s="8">
        <f>TRUNC(D159*ROUND(G159,1), 1)</f>
        <v>8477.1</v>
      </c>
      <c r="I159" s="11">
        <f>단가대비표!AE60</f>
        <v>0</v>
      </c>
      <c r="J159" s="8">
        <f>TRUNC(D159*ROUND(I159,1), 1)</f>
        <v>0</v>
      </c>
      <c r="K159" s="8">
        <f t="shared" ref="K159:L161" si="21">E159+G159+I159</f>
        <v>256883</v>
      </c>
      <c r="L159" s="8">
        <f t="shared" si="21"/>
        <v>8477.1</v>
      </c>
      <c r="M159" s="17" t="s">
        <v>276</v>
      </c>
      <c r="N159" s="1" t="s">
        <v>594</v>
      </c>
      <c r="O159" s="15" t="s">
        <v>108</v>
      </c>
      <c r="P159" s="15" t="s">
        <v>646</v>
      </c>
      <c r="Q159" s="15" t="s">
        <v>646</v>
      </c>
      <c r="R159" s="15" t="s">
        <v>276</v>
      </c>
      <c r="S159" s="20">
        <v>10</v>
      </c>
      <c r="T159" s="15" t="s">
        <v>646</v>
      </c>
      <c r="U159" s="20">
        <v>0</v>
      </c>
      <c r="V159" s="20">
        <v>1</v>
      </c>
      <c r="W159" s="20">
        <v>0</v>
      </c>
      <c r="X159" s="20">
        <v>0</v>
      </c>
      <c r="Y159" s="20">
        <v>0</v>
      </c>
      <c r="Z159" s="20">
        <v>0</v>
      </c>
      <c r="AA159" s="20">
        <v>0</v>
      </c>
      <c r="AB159" s="20">
        <v>0</v>
      </c>
      <c r="AD159" s="15" t="s">
        <v>646</v>
      </c>
      <c r="AE159" s="14" t="str">
        <f>HYPERLINK("#단가대비표!B60", "▶바로가기")</f>
        <v>▶바로가기</v>
      </c>
    </row>
    <row r="160" spans="1:31" ht="30" customHeight="1" x14ac:dyDescent="0.3">
      <c r="A160" s="21" t="s">
        <v>567</v>
      </c>
      <c r="B160" s="17" t="s">
        <v>489</v>
      </c>
      <c r="C160" s="21" t="s">
        <v>717</v>
      </c>
      <c r="D160" s="24">
        <v>1.7000000000000001E-2</v>
      </c>
      <c r="E160" s="11">
        <f>단가대비표!U53</f>
        <v>0</v>
      </c>
      <c r="F160" s="8">
        <f>TRUNC(D160*ROUND(E160,1), 1)</f>
        <v>0</v>
      </c>
      <c r="G160" s="11">
        <f>단가대비표!V53</f>
        <v>172068</v>
      </c>
      <c r="H160" s="8">
        <f>TRUNC(D160*ROUND(G160,1), 1)</f>
        <v>2925.1</v>
      </c>
      <c r="I160" s="11">
        <f>단가대비표!AE53</f>
        <v>0</v>
      </c>
      <c r="J160" s="8">
        <f>TRUNC(D160*ROUND(I160,1), 1)</f>
        <v>0</v>
      </c>
      <c r="K160" s="8">
        <f t="shared" si="21"/>
        <v>172068</v>
      </c>
      <c r="L160" s="8">
        <f t="shared" si="21"/>
        <v>2925.1</v>
      </c>
      <c r="M160" s="17"/>
      <c r="N160" s="1" t="s">
        <v>594</v>
      </c>
      <c r="O160" s="15" t="s">
        <v>589</v>
      </c>
      <c r="P160" s="15" t="s">
        <v>646</v>
      </c>
      <c r="Q160" s="15" t="s">
        <v>646</v>
      </c>
      <c r="R160" s="15" t="s">
        <v>276</v>
      </c>
      <c r="S160" s="20">
        <v>20</v>
      </c>
      <c r="T160" s="15" t="s">
        <v>646</v>
      </c>
      <c r="U160" s="20">
        <v>0</v>
      </c>
      <c r="V160" s="20">
        <v>1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0</v>
      </c>
      <c r="AD160" s="15" t="s">
        <v>646</v>
      </c>
      <c r="AE160" s="14" t="str">
        <f>HYPERLINK("#단가대비표!B53", "▶바로가기")</f>
        <v>▶바로가기</v>
      </c>
    </row>
    <row r="161" spans="1:31" ht="30" customHeight="1" x14ac:dyDescent="0.3">
      <c r="A161" s="21" t="s">
        <v>233</v>
      </c>
      <c r="B161" s="17" t="s">
        <v>669</v>
      </c>
      <c r="C161" s="21" t="s">
        <v>738</v>
      </c>
      <c r="D161" s="24">
        <v>1</v>
      </c>
      <c r="E161" s="8">
        <f>TRUNC(SUMIF(V159:V161, RIGHTB(O161, 1), H159:H161)*U161, 1)</f>
        <v>684.1</v>
      </c>
      <c r="F161" s="8">
        <f>TRUNC(D161*E161,1)</f>
        <v>684.1</v>
      </c>
      <c r="G161" s="8">
        <v>0</v>
      </c>
      <c r="H161" s="8">
        <f>TRUNC(D161*G161,1)</f>
        <v>0</v>
      </c>
      <c r="I161" s="8">
        <v>0</v>
      </c>
      <c r="J161" s="8">
        <f>TRUNC(D161*I161,1)</f>
        <v>0</v>
      </c>
      <c r="K161" s="8">
        <f t="shared" si="21"/>
        <v>684.1</v>
      </c>
      <c r="L161" s="8">
        <f t="shared" si="21"/>
        <v>684.1</v>
      </c>
      <c r="M161" s="17"/>
      <c r="N161" s="1" t="s">
        <v>594</v>
      </c>
      <c r="O161" s="15" t="s">
        <v>456</v>
      </c>
      <c r="P161" s="15" t="s">
        <v>646</v>
      </c>
      <c r="Q161" s="15" t="s">
        <v>646</v>
      </c>
      <c r="R161" s="15" t="s">
        <v>276</v>
      </c>
      <c r="S161" s="20">
        <v>30</v>
      </c>
      <c r="T161" s="15" t="s">
        <v>764</v>
      </c>
      <c r="U161" s="20">
        <v>0.06</v>
      </c>
      <c r="V161" s="20">
        <v>0</v>
      </c>
      <c r="W161" s="20">
        <v>0</v>
      </c>
      <c r="X161" s="20">
        <v>0</v>
      </c>
      <c r="Y161" s="20">
        <v>0</v>
      </c>
      <c r="Z161" s="20">
        <v>0</v>
      </c>
      <c r="AA161" s="20">
        <v>0</v>
      </c>
      <c r="AB161" s="20">
        <v>0</v>
      </c>
      <c r="AD161" s="15" t="s">
        <v>646</v>
      </c>
      <c r="AE161" s="15" t="s">
        <v>646</v>
      </c>
    </row>
    <row r="162" spans="1:31" ht="30" customHeight="1" x14ac:dyDescent="0.3">
      <c r="A162" s="21" t="s">
        <v>515</v>
      </c>
      <c r="B162" s="21" t="s">
        <v>646</v>
      </c>
      <c r="C162" s="21" t="s">
        <v>646</v>
      </c>
      <c r="D162" s="21" t="s">
        <v>646</v>
      </c>
      <c r="E162" s="11">
        <v>0</v>
      </c>
      <c r="F162" s="11">
        <f>TRUNC(SUMIF(R159:R161, " ", F159:F161),0)</f>
        <v>684</v>
      </c>
      <c r="G162" s="11">
        <v>0</v>
      </c>
      <c r="H162" s="11">
        <f>TRUNC(SUMIF(R159:R161, " ", H159:H161),0)</f>
        <v>11402</v>
      </c>
      <c r="I162" s="11">
        <v>0</v>
      </c>
      <c r="J162" s="8">
        <f>TRUNC(SUMIF(R159:R161, " ", J159:J161),0)</f>
        <v>0</v>
      </c>
      <c r="K162" s="13" t="s">
        <v>646</v>
      </c>
      <c r="L162" s="11">
        <f>F162+H162+J162</f>
        <v>12086</v>
      </c>
      <c r="M162" s="17"/>
      <c r="N162" s="6" t="s">
        <v>293</v>
      </c>
      <c r="O162" s="23" t="s">
        <v>293</v>
      </c>
    </row>
    <row r="163" spans="1:31" ht="30" customHeight="1" x14ac:dyDescent="0.3">
      <c r="A163" s="21" t="s">
        <v>646</v>
      </c>
      <c r="B163" s="21" t="s">
        <v>646</v>
      </c>
      <c r="C163" s="21" t="s">
        <v>646</v>
      </c>
      <c r="D163" s="21" t="s">
        <v>646</v>
      </c>
      <c r="E163" s="21" t="s">
        <v>646</v>
      </c>
      <c r="F163" s="21" t="s">
        <v>646</v>
      </c>
      <c r="G163" s="21" t="s">
        <v>646</v>
      </c>
      <c r="H163" s="21" t="s">
        <v>646</v>
      </c>
      <c r="I163" s="21" t="s">
        <v>646</v>
      </c>
      <c r="J163" s="21" t="s">
        <v>646</v>
      </c>
      <c r="K163" s="21" t="s">
        <v>646</v>
      </c>
      <c r="L163" s="21" t="s">
        <v>646</v>
      </c>
      <c r="M163" s="21" t="s">
        <v>646</v>
      </c>
    </row>
    <row r="164" spans="1:31" ht="30" customHeight="1" x14ac:dyDescent="0.3">
      <c r="A164" s="109" t="s">
        <v>12</v>
      </c>
      <c r="B164" s="110"/>
      <c r="C164" s="110"/>
      <c r="D164" s="110"/>
      <c r="E164" s="110"/>
      <c r="F164" s="110"/>
      <c r="G164" s="110"/>
      <c r="H164" s="110"/>
      <c r="I164" s="110"/>
      <c r="J164" s="110"/>
      <c r="K164" s="110"/>
      <c r="L164" s="110"/>
      <c r="M164" s="111"/>
      <c r="N164" s="1" t="s">
        <v>145</v>
      </c>
    </row>
    <row r="165" spans="1:31" ht="30" customHeight="1" x14ac:dyDescent="0.3">
      <c r="A165" s="21" t="s">
        <v>731</v>
      </c>
      <c r="B165" s="17" t="s">
        <v>489</v>
      </c>
      <c r="C165" s="21" t="s">
        <v>717</v>
      </c>
      <c r="D165" s="24">
        <v>12.38</v>
      </c>
      <c r="E165" s="11">
        <f>단가대비표!U55</f>
        <v>0</v>
      </c>
      <c r="F165" s="8">
        <f>TRUNC(D165*ROUND(E165,1), 1)</f>
        <v>0</v>
      </c>
      <c r="G165" s="11">
        <f>단가대비표!V55</f>
        <v>239808</v>
      </c>
      <c r="H165" s="8">
        <f>TRUNC(D165*ROUND(G165,1), 1)</f>
        <v>2968823</v>
      </c>
      <c r="I165" s="11">
        <f>단가대비표!AE55</f>
        <v>0</v>
      </c>
      <c r="J165" s="8">
        <f>TRUNC(D165*ROUND(I165,1), 1)</f>
        <v>0</v>
      </c>
      <c r="K165" s="8">
        <f t="shared" ref="K165:L170" si="22">E165+G165+I165</f>
        <v>239808</v>
      </c>
      <c r="L165" s="8">
        <f t="shared" si="22"/>
        <v>2968823</v>
      </c>
      <c r="M165" s="17" t="s">
        <v>276</v>
      </c>
      <c r="N165" s="1" t="s">
        <v>145</v>
      </c>
      <c r="O165" s="15" t="s">
        <v>544</v>
      </c>
      <c r="P165" s="15" t="s">
        <v>646</v>
      </c>
      <c r="Q165" s="15" t="s">
        <v>646</v>
      </c>
      <c r="R165" s="15" t="s">
        <v>276</v>
      </c>
      <c r="S165" s="20">
        <v>10</v>
      </c>
      <c r="T165" s="15" t="s">
        <v>646</v>
      </c>
      <c r="U165" s="20">
        <v>0</v>
      </c>
      <c r="V165" s="20">
        <v>1</v>
      </c>
      <c r="W165" s="20">
        <v>2</v>
      </c>
      <c r="X165" s="20">
        <v>0</v>
      </c>
      <c r="Y165" s="20">
        <v>0</v>
      </c>
      <c r="Z165" s="20">
        <v>0</v>
      </c>
      <c r="AA165" s="20">
        <v>0</v>
      </c>
      <c r="AB165" s="20">
        <v>0</v>
      </c>
      <c r="AD165" s="15" t="s">
        <v>646</v>
      </c>
      <c r="AE165" s="14" t="str">
        <f>HYPERLINK("#단가대비표!B55", "▶바로가기")</f>
        <v>▶바로가기</v>
      </c>
    </row>
    <row r="166" spans="1:31" ht="30" customHeight="1" x14ac:dyDescent="0.3">
      <c r="A166" s="21" t="s">
        <v>672</v>
      </c>
      <c r="B166" s="17" t="s">
        <v>489</v>
      </c>
      <c r="C166" s="21" t="s">
        <v>717</v>
      </c>
      <c r="D166" s="24">
        <v>3.38</v>
      </c>
      <c r="E166" s="11">
        <f>단가대비표!U56</f>
        <v>0</v>
      </c>
      <c r="F166" s="8">
        <f>TRUNC(D166*ROUND(E166,1), 1)</f>
        <v>0</v>
      </c>
      <c r="G166" s="11">
        <f>단가대비표!V56</f>
        <v>282536</v>
      </c>
      <c r="H166" s="8">
        <f>TRUNC(D166*ROUND(G166,1), 1)</f>
        <v>954971.6</v>
      </c>
      <c r="I166" s="11">
        <f>단가대비표!AE56</f>
        <v>0</v>
      </c>
      <c r="J166" s="8">
        <f>TRUNC(D166*ROUND(I166,1), 1)</f>
        <v>0</v>
      </c>
      <c r="K166" s="8">
        <f t="shared" si="22"/>
        <v>282536</v>
      </c>
      <c r="L166" s="8">
        <f t="shared" si="22"/>
        <v>954971.6</v>
      </c>
      <c r="M166" s="17"/>
      <c r="N166" s="1" t="s">
        <v>145</v>
      </c>
      <c r="O166" s="15" t="s">
        <v>77</v>
      </c>
      <c r="P166" s="15" t="s">
        <v>646</v>
      </c>
      <c r="Q166" s="15" t="s">
        <v>646</v>
      </c>
      <c r="R166" s="15" t="s">
        <v>276</v>
      </c>
      <c r="S166" s="20">
        <v>20</v>
      </c>
      <c r="T166" s="15" t="s">
        <v>646</v>
      </c>
      <c r="U166" s="20">
        <v>0</v>
      </c>
      <c r="V166" s="20">
        <v>1</v>
      </c>
      <c r="W166" s="20">
        <v>2</v>
      </c>
      <c r="X166" s="20">
        <v>0</v>
      </c>
      <c r="Y166" s="20">
        <v>0</v>
      </c>
      <c r="Z166" s="20">
        <v>0</v>
      </c>
      <c r="AA166" s="20">
        <v>0</v>
      </c>
      <c r="AB166" s="20">
        <v>0</v>
      </c>
      <c r="AD166" s="15" t="s">
        <v>646</v>
      </c>
      <c r="AE166" s="14" t="str">
        <f>HYPERLINK("#단가대비표!B56", "▶바로가기")</f>
        <v>▶바로가기</v>
      </c>
    </row>
    <row r="167" spans="1:31" ht="30" customHeight="1" x14ac:dyDescent="0.3">
      <c r="A167" s="21" t="s">
        <v>93</v>
      </c>
      <c r="B167" s="17" t="s">
        <v>489</v>
      </c>
      <c r="C167" s="21" t="s">
        <v>717</v>
      </c>
      <c r="D167" s="24">
        <v>4.5</v>
      </c>
      <c r="E167" s="11">
        <f>단가대비표!U54</f>
        <v>0</v>
      </c>
      <c r="F167" s="8">
        <f>TRUNC(D167*ROUND(E167,1), 1)</f>
        <v>0</v>
      </c>
      <c r="G167" s="11">
        <f>단가대비표!V54</f>
        <v>226122</v>
      </c>
      <c r="H167" s="8">
        <f>TRUNC(D167*ROUND(G167,1), 1)</f>
        <v>1017549</v>
      </c>
      <c r="I167" s="11">
        <f>단가대비표!AE54</f>
        <v>0</v>
      </c>
      <c r="J167" s="8">
        <f>TRUNC(D167*ROUND(I167,1), 1)</f>
        <v>0</v>
      </c>
      <c r="K167" s="8">
        <f t="shared" si="22"/>
        <v>226122</v>
      </c>
      <c r="L167" s="8">
        <f t="shared" si="22"/>
        <v>1017549</v>
      </c>
      <c r="M167" s="17"/>
      <c r="N167" s="1" t="s">
        <v>145</v>
      </c>
      <c r="O167" s="15" t="s">
        <v>497</v>
      </c>
      <c r="P167" s="15" t="s">
        <v>646</v>
      </c>
      <c r="Q167" s="15" t="s">
        <v>646</v>
      </c>
      <c r="R167" s="15" t="s">
        <v>276</v>
      </c>
      <c r="S167" s="20">
        <v>30</v>
      </c>
      <c r="T167" s="15" t="s">
        <v>646</v>
      </c>
      <c r="U167" s="20">
        <v>0</v>
      </c>
      <c r="V167" s="20">
        <v>1</v>
      </c>
      <c r="W167" s="20">
        <v>2</v>
      </c>
      <c r="X167" s="20">
        <v>0</v>
      </c>
      <c r="Y167" s="20">
        <v>0</v>
      </c>
      <c r="Z167" s="20">
        <v>0</v>
      </c>
      <c r="AA167" s="20">
        <v>0</v>
      </c>
      <c r="AB167" s="20">
        <v>0</v>
      </c>
      <c r="AD167" s="15" t="s">
        <v>646</v>
      </c>
      <c r="AE167" s="14" t="str">
        <f>HYPERLINK("#단가대비표!B54", "▶바로가기")</f>
        <v>▶바로가기</v>
      </c>
    </row>
    <row r="168" spans="1:31" ht="30" customHeight="1" x14ac:dyDescent="0.3">
      <c r="A168" s="21" t="s">
        <v>567</v>
      </c>
      <c r="B168" s="17" t="s">
        <v>489</v>
      </c>
      <c r="C168" s="21" t="s">
        <v>717</v>
      </c>
      <c r="D168" s="24">
        <v>2.25</v>
      </c>
      <c r="E168" s="11">
        <f>단가대비표!U53</f>
        <v>0</v>
      </c>
      <c r="F168" s="8">
        <f>TRUNC(D168*ROUND(E168,1), 1)</f>
        <v>0</v>
      </c>
      <c r="G168" s="11">
        <f>단가대비표!V53</f>
        <v>172068</v>
      </c>
      <c r="H168" s="8">
        <f>TRUNC(D168*ROUND(G168,1), 1)</f>
        <v>387153</v>
      </c>
      <c r="I168" s="11">
        <f>단가대비표!AE53</f>
        <v>0</v>
      </c>
      <c r="J168" s="8">
        <f>TRUNC(D168*ROUND(I168,1), 1)</f>
        <v>0</v>
      </c>
      <c r="K168" s="8">
        <f t="shared" si="22"/>
        <v>172068</v>
      </c>
      <c r="L168" s="8">
        <f t="shared" si="22"/>
        <v>387153</v>
      </c>
      <c r="M168" s="17"/>
      <c r="N168" s="1" t="s">
        <v>145</v>
      </c>
      <c r="O168" s="15" t="s">
        <v>589</v>
      </c>
      <c r="P168" s="15" t="s">
        <v>646</v>
      </c>
      <c r="Q168" s="15" t="s">
        <v>646</v>
      </c>
      <c r="R168" s="15" t="s">
        <v>276</v>
      </c>
      <c r="S168" s="20">
        <v>40</v>
      </c>
      <c r="T168" s="15" t="s">
        <v>646</v>
      </c>
      <c r="U168" s="20">
        <v>0</v>
      </c>
      <c r="V168" s="20">
        <v>1</v>
      </c>
      <c r="W168" s="20">
        <v>2</v>
      </c>
      <c r="X168" s="20">
        <v>0</v>
      </c>
      <c r="Y168" s="20">
        <v>0</v>
      </c>
      <c r="Z168" s="20">
        <v>0</v>
      </c>
      <c r="AA168" s="20">
        <v>0</v>
      </c>
      <c r="AB168" s="20">
        <v>0</v>
      </c>
      <c r="AD168" s="15" t="s">
        <v>646</v>
      </c>
      <c r="AE168" s="14" t="str">
        <f>HYPERLINK("#단가대비표!B53", "▶바로가기")</f>
        <v>▶바로가기</v>
      </c>
    </row>
    <row r="169" spans="1:31" ht="30" customHeight="1" x14ac:dyDescent="0.3">
      <c r="A169" s="21" t="s">
        <v>233</v>
      </c>
      <c r="B169" s="17" t="s">
        <v>440</v>
      </c>
      <c r="C169" s="21" t="s">
        <v>738</v>
      </c>
      <c r="D169" s="24">
        <v>1</v>
      </c>
      <c r="E169" s="8">
        <f>TRUNC(SUMIF(V165:V170, RIGHTB(O169, 1), H165:H170)*U169, 1)</f>
        <v>266424.8</v>
      </c>
      <c r="F169" s="8">
        <f>TRUNC(D169*E169,1)</f>
        <v>266424.8</v>
      </c>
      <c r="G169" s="8">
        <v>0</v>
      </c>
      <c r="H169" s="8">
        <f>TRUNC(D169*G169,1)</f>
        <v>0</v>
      </c>
      <c r="I169" s="8">
        <v>0</v>
      </c>
      <c r="J169" s="8">
        <f>TRUNC(D169*I169,1)</f>
        <v>0</v>
      </c>
      <c r="K169" s="8">
        <f t="shared" si="22"/>
        <v>266424.8</v>
      </c>
      <c r="L169" s="8">
        <f t="shared" si="22"/>
        <v>266424.8</v>
      </c>
      <c r="M169" s="17"/>
      <c r="N169" s="1" t="s">
        <v>145</v>
      </c>
      <c r="O169" s="15" t="s">
        <v>456</v>
      </c>
      <c r="P169" s="15" t="s">
        <v>646</v>
      </c>
      <c r="Q169" s="15" t="s">
        <v>646</v>
      </c>
      <c r="R169" s="15" t="s">
        <v>276</v>
      </c>
      <c r="S169" s="20">
        <v>50</v>
      </c>
      <c r="T169" s="15" t="s">
        <v>698</v>
      </c>
      <c r="U169" s="20">
        <v>0.05</v>
      </c>
      <c r="V169" s="20">
        <v>0</v>
      </c>
      <c r="W169" s="20">
        <v>0</v>
      </c>
      <c r="X169" s="20">
        <v>0</v>
      </c>
      <c r="Y169" s="20">
        <v>0</v>
      </c>
      <c r="Z169" s="20">
        <v>0</v>
      </c>
      <c r="AA169" s="20">
        <v>0</v>
      </c>
      <c r="AB169" s="20">
        <v>0</v>
      </c>
      <c r="AD169" s="15" t="s">
        <v>646</v>
      </c>
      <c r="AE169" s="15" t="s">
        <v>646</v>
      </c>
    </row>
    <row r="170" spans="1:31" ht="30" customHeight="1" x14ac:dyDescent="0.3">
      <c r="A170" s="21" t="s">
        <v>67</v>
      </c>
      <c r="B170" s="17" t="s">
        <v>620</v>
      </c>
      <c r="C170" s="21" t="s">
        <v>738</v>
      </c>
      <c r="D170" s="24">
        <v>1</v>
      </c>
      <c r="E170" s="8">
        <f>TRUNC(SUMIF(W165:W170, RIGHTB(O170, 1), H165:H170)*U170, 1)</f>
        <v>159854.79999999999</v>
      </c>
      <c r="F170" s="8">
        <f>TRUNC(D170*E170,1)</f>
        <v>159854.79999999999</v>
      </c>
      <c r="G170" s="8">
        <v>0</v>
      </c>
      <c r="H170" s="8">
        <f>TRUNC(D170*G170,1)</f>
        <v>0</v>
      </c>
      <c r="I170" s="8">
        <v>0</v>
      </c>
      <c r="J170" s="8">
        <f>TRUNC(D170*I170,1)</f>
        <v>0</v>
      </c>
      <c r="K170" s="8">
        <f t="shared" si="22"/>
        <v>159854.79999999999</v>
      </c>
      <c r="L170" s="8">
        <f t="shared" si="22"/>
        <v>159854.79999999999</v>
      </c>
      <c r="M170" s="17"/>
      <c r="N170" s="1" t="s">
        <v>145</v>
      </c>
      <c r="O170" s="15" t="s">
        <v>147</v>
      </c>
      <c r="P170" s="15" t="s">
        <v>646</v>
      </c>
      <c r="Q170" s="15" t="s">
        <v>646</v>
      </c>
      <c r="R170" s="15" t="s">
        <v>276</v>
      </c>
      <c r="S170" s="20">
        <v>60</v>
      </c>
      <c r="T170" s="15" t="s">
        <v>379</v>
      </c>
      <c r="U170" s="20">
        <v>0.03</v>
      </c>
      <c r="V170" s="20">
        <v>0</v>
      </c>
      <c r="W170" s="20">
        <v>0</v>
      </c>
      <c r="X170" s="20">
        <v>0</v>
      </c>
      <c r="Y170" s="20">
        <v>0</v>
      </c>
      <c r="Z170" s="20">
        <v>0</v>
      </c>
      <c r="AA170" s="20">
        <v>0</v>
      </c>
      <c r="AB170" s="20">
        <v>0</v>
      </c>
      <c r="AD170" s="15" t="s">
        <v>646</v>
      </c>
      <c r="AE170" s="15" t="s">
        <v>646</v>
      </c>
    </row>
    <row r="171" spans="1:31" ht="30" customHeight="1" x14ac:dyDescent="0.3">
      <c r="A171" s="21" t="s">
        <v>515</v>
      </c>
      <c r="B171" s="21" t="s">
        <v>646</v>
      </c>
      <c r="C171" s="21" t="s">
        <v>646</v>
      </c>
      <c r="D171" s="21" t="s">
        <v>646</v>
      </c>
      <c r="E171" s="11">
        <v>0</v>
      </c>
      <c r="F171" s="11">
        <f>TRUNC(SUMIF(R165:R170, " ", F165:F170),0)</f>
        <v>426279</v>
      </c>
      <c r="G171" s="11">
        <v>0</v>
      </c>
      <c r="H171" s="11">
        <f>TRUNC(SUMIF(R165:R170, " ", H165:H170),0)</f>
        <v>5328496</v>
      </c>
      <c r="I171" s="11">
        <v>0</v>
      </c>
      <c r="J171" s="8">
        <f>TRUNC(SUMIF(R165:R170, " ", J165:J170),0)</f>
        <v>0</v>
      </c>
      <c r="K171" s="13" t="s">
        <v>646</v>
      </c>
      <c r="L171" s="11">
        <f>F171+H171+J171</f>
        <v>5754775</v>
      </c>
      <c r="M171" s="17"/>
      <c r="N171" s="6" t="s">
        <v>293</v>
      </c>
      <c r="O171" s="23" t="s">
        <v>293</v>
      </c>
    </row>
    <row r="172" spans="1:31" ht="30" customHeight="1" x14ac:dyDescent="0.3">
      <c r="A172" s="21" t="s">
        <v>646</v>
      </c>
      <c r="B172" s="21" t="s">
        <v>646</v>
      </c>
      <c r="C172" s="21" t="s">
        <v>646</v>
      </c>
      <c r="D172" s="21" t="s">
        <v>646</v>
      </c>
      <c r="E172" s="21" t="s">
        <v>646</v>
      </c>
      <c r="F172" s="21" t="s">
        <v>646</v>
      </c>
      <c r="G172" s="21" t="s">
        <v>646</v>
      </c>
      <c r="H172" s="21" t="s">
        <v>646</v>
      </c>
      <c r="I172" s="21" t="s">
        <v>646</v>
      </c>
      <c r="J172" s="21" t="s">
        <v>646</v>
      </c>
      <c r="K172" s="21" t="s">
        <v>646</v>
      </c>
      <c r="L172" s="21" t="s">
        <v>646</v>
      </c>
      <c r="M172" s="21" t="s">
        <v>646</v>
      </c>
    </row>
    <row r="173" spans="1:31" ht="30" customHeight="1" x14ac:dyDescent="0.3">
      <c r="A173" s="109" t="s">
        <v>96</v>
      </c>
      <c r="B173" s="110"/>
      <c r="C173" s="110"/>
      <c r="D173" s="110"/>
      <c r="E173" s="110"/>
      <c r="F173" s="110"/>
      <c r="G173" s="110"/>
      <c r="H173" s="110"/>
      <c r="I173" s="110"/>
      <c r="J173" s="110"/>
      <c r="K173" s="110"/>
      <c r="L173" s="110"/>
      <c r="M173" s="111"/>
      <c r="N173" s="1" t="s">
        <v>571</v>
      </c>
    </row>
    <row r="174" spans="1:31" ht="30" customHeight="1" x14ac:dyDescent="0.3">
      <c r="A174" s="21" t="s">
        <v>731</v>
      </c>
      <c r="B174" s="17" t="s">
        <v>489</v>
      </c>
      <c r="C174" s="21" t="s">
        <v>717</v>
      </c>
      <c r="D174" s="24">
        <v>16.09</v>
      </c>
      <c r="E174" s="11">
        <f>단가대비표!U55</f>
        <v>0</v>
      </c>
      <c r="F174" s="8">
        <f>TRUNC(D174*ROUND(E174,1), 1)</f>
        <v>0</v>
      </c>
      <c r="G174" s="11">
        <f>단가대비표!V55</f>
        <v>239808</v>
      </c>
      <c r="H174" s="8">
        <f>TRUNC(D174*ROUND(G174,1), 1)</f>
        <v>3858510.7</v>
      </c>
      <c r="I174" s="11">
        <f>단가대비표!AE55</f>
        <v>0</v>
      </c>
      <c r="J174" s="8">
        <f>TRUNC(D174*ROUND(I174,1), 1)</f>
        <v>0</v>
      </c>
      <c r="K174" s="8">
        <f t="shared" ref="K174:L179" si="23">E174+G174+I174</f>
        <v>239808</v>
      </c>
      <c r="L174" s="8">
        <f t="shared" si="23"/>
        <v>3858510.7</v>
      </c>
      <c r="M174" s="17" t="s">
        <v>276</v>
      </c>
      <c r="N174" s="1" t="s">
        <v>571</v>
      </c>
      <c r="O174" s="15" t="s">
        <v>544</v>
      </c>
      <c r="P174" s="15" t="s">
        <v>646</v>
      </c>
      <c r="Q174" s="15" t="s">
        <v>646</v>
      </c>
      <c r="R174" s="15" t="s">
        <v>276</v>
      </c>
      <c r="S174" s="20">
        <v>10</v>
      </c>
      <c r="T174" s="15" t="s">
        <v>646</v>
      </c>
      <c r="U174" s="20">
        <v>0</v>
      </c>
      <c r="V174" s="20">
        <v>1</v>
      </c>
      <c r="W174" s="20">
        <v>2</v>
      </c>
      <c r="X174" s="20">
        <v>0</v>
      </c>
      <c r="Y174" s="20">
        <v>0</v>
      </c>
      <c r="Z174" s="20">
        <v>0</v>
      </c>
      <c r="AA174" s="20">
        <v>0</v>
      </c>
      <c r="AB174" s="20">
        <v>0</v>
      </c>
      <c r="AD174" s="15" t="s">
        <v>646</v>
      </c>
      <c r="AE174" s="14" t="str">
        <f>HYPERLINK("#단가대비표!B55", "▶바로가기")</f>
        <v>▶바로가기</v>
      </c>
    </row>
    <row r="175" spans="1:31" ht="30" customHeight="1" x14ac:dyDescent="0.3">
      <c r="A175" s="21" t="s">
        <v>672</v>
      </c>
      <c r="B175" s="17" t="s">
        <v>489</v>
      </c>
      <c r="C175" s="21" t="s">
        <v>717</v>
      </c>
      <c r="D175" s="24">
        <v>4.3899999999999997</v>
      </c>
      <c r="E175" s="11">
        <f>단가대비표!U56</f>
        <v>0</v>
      </c>
      <c r="F175" s="8">
        <f>TRUNC(D175*ROUND(E175,1), 1)</f>
        <v>0</v>
      </c>
      <c r="G175" s="11">
        <f>단가대비표!V56</f>
        <v>282536</v>
      </c>
      <c r="H175" s="8">
        <f>TRUNC(D175*ROUND(G175,1), 1)</f>
        <v>1240333</v>
      </c>
      <c r="I175" s="11">
        <f>단가대비표!AE56</f>
        <v>0</v>
      </c>
      <c r="J175" s="8">
        <f>TRUNC(D175*ROUND(I175,1), 1)</f>
        <v>0</v>
      </c>
      <c r="K175" s="8">
        <f t="shared" si="23"/>
        <v>282536</v>
      </c>
      <c r="L175" s="8">
        <f t="shared" si="23"/>
        <v>1240333</v>
      </c>
      <c r="M175" s="17"/>
      <c r="N175" s="1" t="s">
        <v>571</v>
      </c>
      <c r="O175" s="15" t="s">
        <v>77</v>
      </c>
      <c r="P175" s="15" t="s">
        <v>646</v>
      </c>
      <c r="Q175" s="15" t="s">
        <v>646</v>
      </c>
      <c r="R175" s="15" t="s">
        <v>276</v>
      </c>
      <c r="S175" s="20">
        <v>20</v>
      </c>
      <c r="T175" s="15" t="s">
        <v>646</v>
      </c>
      <c r="U175" s="20">
        <v>0</v>
      </c>
      <c r="V175" s="20">
        <v>1</v>
      </c>
      <c r="W175" s="20">
        <v>2</v>
      </c>
      <c r="X175" s="20">
        <v>0</v>
      </c>
      <c r="Y175" s="20">
        <v>0</v>
      </c>
      <c r="Z175" s="20">
        <v>0</v>
      </c>
      <c r="AA175" s="20">
        <v>0</v>
      </c>
      <c r="AB175" s="20">
        <v>0</v>
      </c>
      <c r="AD175" s="15" t="s">
        <v>646</v>
      </c>
      <c r="AE175" s="14" t="str">
        <f>HYPERLINK("#단가대비표!B56", "▶바로가기")</f>
        <v>▶바로가기</v>
      </c>
    </row>
    <row r="176" spans="1:31" ht="30" customHeight="1" x14ac:dyDescent="0.3">
      <c r="A176" s="21" t="s">
        <v>93</v>
      </c>
      <c r="B176" s="17" t="s">
        <v>489</v>
      </c>
      <c r="C176" s="21" t="s">
        <v>717</v>
      </c>
      <c r="D176" s="24">
        <v>5.85</v>
      </c>
      <c r="E176" s="11">
        <f>단가대비표!U54</f>
        <v>0</v>
      </c>
      <c r="F176" s="8">
        <f>TRUNC(D176*ROUND(E176,1), 1)</f>
        <v>0</v>
      </c>
      <c r="G176" s="11">
        <f>단가대비표!V54</f>
        <v>226122</v>
      </c>
      <c r="H176" s="8">
        <f>TRUNC(D176*ROUND(G176,1), 1)</f>
        <v>1322813.7</v>
      </c>
      <c r="I176" s="11">
        <f>단가대비표!AE54</f>
        <v>0</v>
      </c>
      <c r="J176" s="8">
        <f>TRUNC(D176*ROUND(I176,1), 1)</f>
        <v>0</v>
      </c>
      <c r="K176" s="8">
        <f t="shared" si="23"/>
        <v>226122</v>
      </c>
      <c r="L176" s="8">
        <f t="shared" si="23"/>
        <v>1322813.7</v>
      </c>
      <c r="M176" s="17"/>
      <c r="N176" s="1" t="s">
        <v>571</v>
      </c>
      <c r="O176" s="15" t="s">
        <v>497</v>
      </c>
      <c r="P176" s="15" t="s">
        <v>646</v>
      </c>
      <c r="Q176" s="15" t="s">
        <v>646</v>
      </c>
      <c r="R176" s="15" t="s">
        <v>276</v>
      </c>
      <c r="S176" s="20">
        <v>30</v>
      </c>
      <c r="T176" s="15" t="s">
        <v>646</v>
      </c>
      <c r="U176" s="20">
        <v>0</v>
      </c>
      <c r="V176" s="20">
        <v>1</v>
      </c>
      <c r="W176" s="20">
        <v>2</v>
      </c>
      <c r="X176" s="20">
        <v>0</v>
      </c>
      <c r="Y176" s="20">
        <v>0</v>
      </c>
      <c r="Z176" s="20">
        <v>0</v>
      </c>
      <c r="AA176" s="20">
        <v>0</v>
      </c>
      <c r="AB176" s="20">
        <v>0</v>
      </c>
      <c r="AD176" s="15" t="s">
        <v>646</v>
      </c>
      <c r="AE176" s="14" t="str">
        <f>HYPERLINK("#단가대비표!B54", "▶바로가기")</f>
        <v>▶바로가기</v>
      </c>
    </row>
    <row r="177" spans="1:31" ht="30" customHeight="1" x14ac:dyDescent="0.3">
      <c r="A177" s="21" t="s">
        <v>567</v>
      </c>
      <c r="B177" s="17" t="s">
        <v>489</v>
      </c>
      <c r="C177" s="21" t="s">
        <v>717</v>
      </c>
      <c r="D177" s="24">
        <v>2.93</v>
      </c>
      <c r="E177" s="11">
        <f>단가대비표!U53</f>
        <v>0</v>
      </c>
      <c r="F177" s="8">
        <f>TRUNC(D177*ROUND(E177,1), 1)</f>
        <v>0</v>
      </c>
      <c r="G177" s="11">
        <f>단가대비표!V53</f>
        <v>172068</v>
      </c>
      <c r="H177" s="8">
        <f>TRUNC(D177*ROUND(G177,1), 1)</f>
        <v>504159.2</v>
      </c>
      <c r="I177" s="11">
        <f>단가대비표!AE53</f>
        <v>0</v>
      </c>
      <c r="J177" s="8">
        <f>TRUNC(D177*ROUND(I177,1), 1)</f>
        <v>0</v>
      </c>
      <c r="K177" s="8">
        <f t="shared" si="23"/>
        <v>172068</v>
      </c>
      <c r="L177" s="8">
        <f t="shared" si="23"/>
        <v>504159.2</v>
      </c>
      <c r="M177" s="17"/>
      <c r="N177" s="1" t="s">
        <v>571</v>
      </c>
      <c r="O177" s="15" t="s">
        <v>589</v>
      </c>
      <c r="P177" s="15" t="s">
        <v>646</v>
      </c>
      <c r="Q177" s="15" t="s">
        <v>646</v>
      </c>
      <c r="R177" s="15" t="s">
        <v>276</v>
      </c>
      <c r="S177" s="20">
        <v>40</v>
      </c>
      <c r="T177" s="15" t="s">
        <v>646</v>
      </c>
      <c r="U177" s="20">
        <v>0</v>
      </c>
      <c r="V177" s="20">
        <v>1</v>
      </c>
      <c r="W177" s="20">
        <v>2</v>
      </c>
      <c r="X177" s="20">
        <v>0</v>
      </c>
      <c r="Y177" s="20">
        <v>0</v>
      </c>
      <c r="Z177" s="20">
        <v>0</v>
      </c>
      <c r="AA177" s="20">
        <v>0</v>
      </c>
      <c r="AB177" s="20">
        <v>0</v>
      </c>
      <c r="AD177" s="15" t="s">
        <v>646</v>
      </c>
      <c r="AE177" s="14" t="str">
        <f>HYPERLINK("#단가대비표!B53", "▶바로가기")</f>
        <v>▶바로가기</v>
      </c>
    </row>
    <row r="178" spans="1:31" ht="30" customHeight="1" x14ac:dyDescent="0.3">
      <c r="A178" s="21" t="s">
        <v>233</v>
      </c>
      <c r="B178" s="17" t="s">
        <v>463</v>
      </c>
      <c r="C178" s="21" t="s">
        <v>738</v>
      </c>
      <c r="D178" s="24">
        <v>1</v>
      </c>
      <c r="E178" s="8">
        <f>TRUNC(SUMIF(V174:V179, RIGHTB(O178, 1), H174:H179)*U178, 1)</f>
        <v>277032.59999999998</v>
      </c>
      <c r="F178" s="8">
        <f>TRUNC(D178*E178,1)</f>
        <v>277032.59999999998</v>
      </c>
      <c r="G178" s="8">
        <v>0</v>
      </c>
      <c r="H178" s="8">
        <f>TRUNC(D178*G178,1)</f>
        <v>0</v>
      </c>
      <c r="I178" s="8">
        <v>0</v>
      </c>
      <c r="J178" s="8">
        <f>TRUNC(D178*I178,1)</f>
        <v>0</v>
      </c>
      <c r="K178" s="8">
        <f t="shared" si="23"/>
        <v>277032.59999999998</v>
      </c>
      <c r="L178" s="8">
        <f t="shared" si="23"/>
        <v>277032.59999999998</v>
      </c>
      <c r="M178" s="17"/>
      <c r="N178" s="1" t="s">
        <v>571</v>
      </c>
      <c r="O178" s="15" t="s">
        <v>456</v>
      </c>
      <c r="P178" s="15" t="s">
        <v>646</v>
      </c>
      <c r="Q178" s="15" t="s">
        <v>646</v>
      </c>
      <c r="R178" s="15" t="s">
        <v>276</v>
      </c>
      <c r="S178" s="20">
        <v>50</v>
      </c>
      <c r="T178" s="15" t="s">
        <v>118</v>
      </c>
      <c r="U178" s="20">
        <v>0.04</v>
      </c>
      <c r="V178" s="20">
        <v>0</v>
      </c>
      <c r="W178" s="20">
        <v>0</v>
      </c>
      <c r="X178" s="20">
        <v>0</v>
      </c>
      <c r="Y178" s="20">
        <v>0</v>
      </c>
      <c r="Z178" s="20">
        <v>0</v>
      </c>
      <c r="AA178" s="20">
        <v>0</v>
      </c>
      <c r="AB178" s="20">
        <v>0</v>
      </c>
      <c r="AD178" s="15" t="s">
        <v>646</v>
      </c>
      <c r="AE178" s="15" t="s">
        <v>646</v>
      </c>
    </row>
    <row r="179" spans="1:31" ht="30" customHeight="1" x14ac:dyDescent="0.3">
      <c r="A179" s="21" t="s">
        <v>67</v>
      </c>
      <c r="B179" s="17" t="s">
        <v>5</v>
      </c>
      <c r="C179" s="21" t="s">
        <v>738</v>
      </c>
      <c r="D179" s="24">
        <v>1</v>
      </c>
      <c r="E179" s="8">
        <f>TRUNC(SUMIF(W174:W179, RIGHTB(O179, 1), H174:H179)*U179, 1)</f>
        <v>138516.29999999999</v>
      </c>
      <c r="F179" s="8">
        <f>TRUNC(D179*E179,1)</f>
        <v>138516.29999999999</v>
      </c>
      <c r="G179" s="8">
        <v>0</v>
      </c>
      <c r="H179" s="8">
        <f>TRUNC(D179*G179,1)</f>
        <v>0</v>
      </c>
      <c r="I179" s="8">
        <v>0</v>
      </c>
      <c r="J179" s="8">
        <f>TRUNC(D179*I179,1)</f>
        <v>0</v>
      </c>
      <c r="K179" s="8">
        <f t="shared" si="23"/>
        <v>138516.29999999999</v>
      </c>
      <c r="L179" s="8">
        <f t="shared" si="23"/>
        <v>138516.29999999999</v>
      </c>
      <c r="M179" s="17"/>
      <c r="N179" s="1" t="s">
        <v>571</v>
      </c>
      <c r="O179" s="15" t="s">
        <v>147</v>
      </c>
      <c r="P179" s="15" t="s">
        <v>646</v>
      </c>
      <c r="Q179" s="15" t="s">
        <v>646</v>
      </c>
      <c r="R179" s="15" t="s">
        <v>276</v>
      </c>
      <c r="S179" s="20">
        <v>60</v>
      </c>
      <c r="T179" s="15" t="s">
        <v>386</v>
      </c>
      <c r="U179" s="20">
        <v>0.02</v>
      </c>
      <c r="V179" s="20">
        <v>0</v>
      </c>
      <c r="W179" s="20">
        <v>0</v>
      </c>
      <c r="X179" s="20">
        <v>0</v>
      </c>
      <c r="Y179" s="20">
        <v>0</v>
      </c>
      <c r="Z179" s="20">
        <v>0</v>
      </c>
      <c r="AA179" s="20">
        <v>0</v>
      </c>
      <c r="AB179" s="20">
        <v>0</v>
      </c>
      <c r="AD179" s="15" t="s">
        <v>646</v>
      </c>
      <c r="AE179" s="15" t="s">
        <v>646</v>
      </c>
    </row>
    <row r="180" spans="1:31" ht="30" customHeight="1" x14ac:dyDescent="0.3">
      <c r="A180" s="21" t="s">
        <v>515</v>
      </c>
      <c r="B180" s="21" t="s">
        <v>646</v>
      </c>
      <c r="C180" s="21" t="s">
        <v>646</v>
      </c>
      <c r="D180" s="21" t="s">
        <v>646</v>
      </c>
      <c r="E180" s="11">
        <v>0</v>
      </c>
      <c r="F180" s="11">
        <f>TRUNC(SUMIF(R174:R179, " ", F174:F179),0)</f>
        <v>415548</v>
      </c>
      <c r="G180" s="11">
        <v>0</v>
      </c>
      <c r="H180" s="11">
        <f>TRUNC(SUMIF(R174:R179, " ", H174:H179),0)</f>
        <v>6925816</v>
      </c>
      <c r="I180" s="11">
        <v>0</v>
      </c>
      <c r="J180" s="8">
        <f>TRUNC(SUMIF(R174:R179, " ", J174:J179),0)</f>
        <v>0</v>
      </c>
      <c r="K180" s="13" t="s">
        <v>646</v>
      </c>
      <c r="L180" s="11">
        <f>F180+H180+J180</f>
        <v>7341364</v>
      </c>
      <c r="M180" s="17"/>
      <c r="N180" s="6" t="s">
        <v>293</v>
      </c>
      <c r="O180" s="23" t="s">
        <v>293</v>
      </c>
    </row>
    <row r="181" spans="1:31" ht="30" customHeight="1" x14ac:dyDescent="0.3">
      <c r="A181" s="21" t="s">
        <v>646</v>
      </c>
      <c r="B181" s="21" t="s">
        <v>646</v>
      </c>
      <c r="C181" s="21" t="s">
        <v>646</v>
      </c>
      <c r="D181" s="21" t="s">
        <v>646</v>
      </c>
      <c r="E181" s="21" t="s">
        <v>646</v>
      </c>
      <c r="F181" s="21" t="s">
        <v>646</v>
      </c>
      <c r="G181" s="21" t="s">
        <v>646</v>
      </c>
      <c r="H181" s="21" t="s">
        <v>646</v>
      </c>
      <c r="I181" s="21" t="s">
        <v>646</v>
      </c>
      <c r="J181" s="21" t="s">
        <v>646</v>
      </c>
      <c r="K181" s="21" t="s">
        <v>646</v>
      </c>
      <c r="L181" s="21" t="s">
        <v>646</v>
      </c>
      <c r="M181" s="21" t="s">
        <v>646</v>
      </c>
    </row>
    <row r="182" spans="1:31" ht="30" customHeight="1" x14ac:dyDescent="0.3">
      <c r="A182" s="109" t="s">
        <v>537</v>
      </c>
      <c r="B182" s="110"/>
      <c r="C182" s="110"/>
      <c r="D182" s="110"/>
      <c r="E182" s="110"/>
      <c r="F182" s="110"/>
      <c r="G182" s="110"/>
      <c r="H182" s="110"/>
      <c r="I182" s="110"/>
      <c r="J182" s="110"/>
      <c r="K182" s="110"/>
      <c r="L182" s="110"/>
      <c r="M182" s="111"/>
      <c r="N182" s="1" t="s">
        <v>266</v>
      </c>
    </row>
    <row r="183" spans="1:31" ht="30" customHeight="1" x14ac:dyDescent="0.3">
      <c r="A183" s="21" t="s">
        <v>448</v>
      </c>
      <c r="B183" s="17" t="s">
        <v>400</v>
      </c>
      <c r="C183" s="21" t="s">
        <v>127</v>
      </c>
      <c r="D183" s="24">
        <v>1E-3</v>
      </c>
      <c r="E183" s="11">
        <f>일위대가목록!E31</f>
        <v>426279</v>
      </c>
      <c r="F183" s="8">
        <f>TRUNC(D183*E183,1)</f>
        <v>426.2</v>
      </c>
      <c r="G183" s="11">
        <f>일위대가목록!F31</f>
        <v>5328496</v>
      </c>
      <c r="H183" s="8">
        <f>TRUNC(D183*G183,1)</f>
        <v>5328.4</v>
      </c>
      <c r="I183" s="11">
        <f>일위대가목록!G31</f>
        <v>0</v>
      </c>
      <c r="J183" s="8">
        <f>TRUNC(D183*I183,1)</f>
        <v>0</v>
      </c>
      <c r="K183" s="8">
        <f>E183+G183+I183</f>
        <v>5754775</v>
      </c>
      <c r="L183" s="8">
        <f>F183+H183+J183</f>
        <v>5754.5999999999995</v>
      </c>
      <c r="M183" s="17" t="s">
        <v>646</v>
      </c>
      <c r="N183" s="1" t="s">
        <v>266</v>
      </c>
      <c r="O183" s="15" t="s">
        <v>145</v>
      </c>
      <c r="P183" s="15" t="s">
        <v>646</v>
      </c>
      <c r="Q183" s="15" t="s">
        <v>646</v>
      </c>
      <c r="R183" s="15" t="s">
        <v>276</v>
      </c>
      <c r="S183" s="20">
        <v>10</v>
      </c>
      <c r="T183" s="15" t="s">
        <v>471</v>
      </c>
      <c r="U183" s="20">
        <v>0</v>
      </c>
      <c r="V183" s="20">
        <v>0</v>
      </c>
      <c r="W183" s="20">
        <v>0</v>
      </c>
      <c r="X183" s="20">
        <v>0</v>
      </c>
      <c r="Y183" s="20">
        <v>0</v>
      </c>
      <c r="Z183" s="20">
        <v>0</v>
      </c>
      <c r="AA183" s="20">
        <v>0</v>
      </c>
      <c r="AB183" s="20">
        <v>0</v>
      </c>
      <c r="AD183" s="15" t="s">
        <v>646</v>
      </c>
      <c r="AE183" s="14" t="str">
        <f>HYPERLINK("#일위대가!B164", "▶바로가기")</f>
        <v>▶바로가기</v>
      </c>
    </row>
    <row r="184" spans="1:31" ht="30" customHeight="1" x14ac:dyDescent="0.3">
      <c r="A184" s="21" t="s">
        <v>515</v>
      </c>
      <c r="B184" s="21" t="s">
        <v>646</v>
      </c>
      <c r="C184" s="21" t="s">
        <v>646</v>
      </c>
      <c r="D184" s="21" t="s">
        <v>646</v>
      </c>
      <c r="E184" s="11">
        <v>0</v>
      </c>
      <c r="F184" s="11">
        <f>TRUNC(SUMIF(R183:R183, " ", F183:F183),0)</f>
        <v>426</v>
      </c>
      <c r="G184" s="11">
        <v>0</v>
      </c>
      <c r="H184" s="11">
        <f>TRUNC(SUMIF(R183:R183, " ", H183:H183),0)</f>
        <v>5328</v>
      </c>
      <c r="I184" s="11">
        <v>0</v>
      </c>
      <c r="J184" s="8">
        <f>TRUNC(SUMIF(R183:R183, " ", J183:J183),0)</f>
        <v>0</v>
      </c>
      <c r="K184" s="13" t="s">
        <v>646</v>
      </c>
      <c r="L184" s="11">
        <f>F184+H184+J184</f>
        <v>5754</v>
      </c>
      <c r="M184" s="17"/>
      <c r="N184" s="6" t="s">
        <v>293</v>
      </c>
      <c r="O184" s="23" t="s">
        <v>293</v>
      </c>
    </row>
    <row r="185" spans="1:31" ht="30" customHeight="1" x14ac:dyDescent="0.3">
      <c r="A185" s="21" t="s">
        <v>646</v>
      </c>
      <c r="B185" s="21" t="s">
        <v>646</v>
      </c>
      <c r="C185" s="21" t="s">
        <v>646</v>
      </c>
      <c r="D185" s="21" t="s">
        <v>646</v>
      </c>
      <c r="E185" s="21" t="s">
        <v>646</v>
      </c>
      <c r="F185" s="21" t="s">
        <v>646</v>
      </c>
      <c r="G185" s="21" t="s">
        <v>646</v>
      </c>
      <c r="H185" s="21" t="s">
        <v>646</v>
      </c>
      <c r="I185" s="21" t="s">
        <v>646</v>
      </c>
      <c r="J185" s="21" t="s">
        <v>646</v>
      </c>
      <c r="K185" s="21" t="s">
        <v>646</v>
      </c>
      <c r="L185" s="21" t="s">
        <v>646</v>
      </c>
      <c r="M185" s="21" t="s">
        <v>646</v>
      </c>
    </row>
    <row r="186" spans="1:31" ht="30" customHeight="1" x14ac:dyDescent="0.3">
      <c r="A186" s="109" t="s">
        <v>331</v>
      </c>
      <c r="B186" s="110"/>
      <c r="C186" s="110"/>
      <c r="D186" s="110"/>
      <c r="E186" s="110"/>
      <c r="F186" s="110"/>
      <c r="G186" s="110"/>
      <c r="H186" s="110"/>
      <c r="I186" s="110"/>
      <c r="J186" s="110"/>
      <c r="K186" s="110"/>
      <c r="L186" s="110"/>
      <c r="M186" s="111"/>
      <c r="N186" s="1" t="s">
        <v>80</v>
      </c>
    </row>
    <row r="187" spans="1:31" ht="30" customHeight="1" x14ac:dyDescent="0.3">
      <c r="A187" s="21" t="s">
        <v>448</v>
      </c>
      <c r="B187" s="17" t="s">
        <v>94</v>
      </c>
      <c r="C187" s="21" t="s">
        <v>127</v>
      </c>
      <c r="D187" s="24">
        <v>1E-3</v>
      </c>
      <c r="E187" s="11">
        <f>일위대가목록!E32</f>
        <v>415548</v>
      </c>
      <c r="F187" s="8">
        <f>TRUNC(D187*E187,1)</f>
        <v>415.5</v>
      </c>
      <c r="G187" s="11">
        <f>일위대가목록!F32</f>
        <v>6925816</v>
      </c>
      <c r="H187" s="8">
        <f>TRUNC(D187*G187,1)</f>
        <v>6925.8</v>
      </c>
      <c r="I187" s="11">
        <f>일위대가목록!G32</f>
        <v>0</v>
      </c>
      <c r="J187" s="8">
        <f>TRUNC(D187*I187,1)</f>
        <v>0</v>
      </c>
      <c r="K187" s="8">
        <f>E187+G187+I187</f>
        <v>7341364</v>
      </c>
      <c r="L187" s="8">
        <f>F187+H187+J187</f>
        <v>7341.3</v>
      </c>
      <c r="M187" s="17" t="s">
        <v>646</v>
      </c>
      <c r="N187" s="1" t="s">
        <v>80</v>
      </c>
      <c r="O187" s="15" t="s">
        <v>571</v>
      </c>
      <c r="P187" s="15" t="s">
        <v>646</v>
      </c>
      <c r="Q187" s="15" t="s">
        <v>646</v>
      </c>
      <c r="R187" s="15" t="s">
        <v>276</v>
      </c>
      <c r="S187" s="20">
        <v>10</v>
      </c>
      <c r="T187" s="15" t="s">
        <v>471</v>
      </c>
      <c r="U187" s="20">
        <v>0</v>
      </c>
      <c r="V187" s="20">
        <v>0</v>
      </c>
      <c r="W187" s="20">
        <v>0</v>
      </c>
      <c r="X187" s="20">
        <v>0</v>
      </c>
      <c r="Y187" s="20">
        <v>0</v>
      </c>
      <c r="Z187" s="20">
        <v>0</v>
      </c>
      <c r="AA187" s="20">
        <v>0</v>
      </c>
      <c r="AB187" s="20">
        <v>0</v>
      </c>
      <c r="AD187" s="15" t="s">
        <v>646</v>
      </c>
      <c r="AE187" s="14" t="str">
        <f>HYPERLINK("#일위대가!B173", "▶바로가기")</f>
        <v>▶바로가기</v>
      </c>
    </row>
    <row r="188" spans="1:31" ht="30" customHeight="1" x14ac:dyDescent="0.3">
      <c r="A188" s="21" t="s">
        <v>515</v>
      </c>
      <c r="B188" s="21" t="s">
        <v>646</v>
      </c>
      <c r="C188" s="21" t="s">
        <v>646</v>
      </c>
      <c r="D188" s="21" t="s">
        <v>646</v>
      </c>
      <c r="E188" s="11">
        <v>0</v>
      </c>
      <c r="F188" s="11">
        <f>TRUNC(SUMIF(R187:R187, " ", F187:F187),0)</f>
        <v>415</v>
      </c>
      <c r="G188" s="11">
        <v>0</v>
      </c>
      <c r="H188" s="11">
        <f>TRUNC(SUMIF(R187:R187, " ", H187:H187),0)</f>
        <v>6925</v>
      </c>
      <c r="I188" s="11">
        <v>0</v>
      </c>
      <c r="J188" s="8">
        <f>TRUNC(SUMIF(R187:R187, " ", J187:J187),0)</f>
        <v>0</v>
      </c>
      <c r="K188" s="13" t="s">
        <v>646</v>
      </c>
      <c r="L188" s="11">
        <f>F188+H188+J188</f>
        <v>7340</v>
      </c>
      <c r="M188" s="17"/>
      <c r="N188" s="6" t="s">
        <v>293</v>
      </c>
      <c r="O188" s="23" t="s">
        <v>293</v>
      </c>
    </row>
    <row r="189" spans="1:31" ht="30" customHeight="1" x14ac:dyDescent="0.3">
      <c r="A189" s="21" t="s">
        <v>646</v>
      </c>
      <c r="B189" s="21" t="s">
        <v>646</v>
      </c>
      <c r="C189" s="21" t="s">
        <v>646</v>
      </c>
      <c r="D189" s="21" t="s">
        <v>646</v>
      </c>
      <c r="E189" s="21" t="s">
        <v>646</v>
      </c>
      <c r="F189" s="21" t="s">
        <v>646</v>
      </c>
      <c r="G189" s="21" t="s">
        <v>646</v>
      </c>
      <c r="H189" s="21" t="s">
        <v>646</v>
      </c>
      <c r="I189" s="21" t="s">
        <v>646</v>
      </c>
      <c r="J189" s="21" t="s">
        <v>646</v>
      </c>
      <c r="K189" s="21" t="s">
        <v>646</v>
      </c>
      <c r="L189" s="21" t="s">
        <v>646</v>
      </c>
      <c r="M189" s="21" t="s">
        <v>646</v>
      </c>
    </row>
    <row r="190" spans="1:31" ht="30" customHeight="1" x14ac:dyDescent="0.3">
      <c r="A190" s="109" t="s">
        <v>152</v>
      </c>
      <c r="B190" s="110"/>
      <c r="C190" s="110"/>
      <c r="D190" s="110"/>
      <c r="E190" s="110"/>
      <c r="F190" s="110"/>
      <c r="G190" s="110"/>
      <c r="H190" s="110"/>
      <c r="I190" s="110"/>
      <c r="J190" s="110"/>
      <c r="K190" s="110"/>
      <c r="L190" s="110"/>
      <c r="M190" s="111"/>
      <c r="N190" s="1" t="s">
        <v>117</v>
      </c>
    </row>
    <row r="191" spans="1:31" ht="30" customHeight="1" x14ac:dyDescent="0.3">
      <c r="A191" s="21" t="s">
        <v>111</v>
      </c>
      <c r="B191" s="17" t="s">
        <v>183</v>
      </c>
      <c r="C191" s="21" t="s">
        <v>107</v>
      </c>
      <c r="D191" s="24">
        <v>10.362</v>
      </c>
      <c r="E191" s="11">
        <f>단가대비표!U10</f>
        <v>891</v>
      </c>
      <c r="F191" s="8">
        <f>TRUNC(D191*ROUND(E191,1), 1)</f>
        <v>9232.5</v>
      </c>
      <c r="G191" s="11">
        <f>단가대비표!V10</f>
        <v>0</v>
      </c>
      <c r="H191" s="8">
        <f>TRUNC(D191*ROUND(G191,1), 1)</f>
        <v>0</v>
      </c>
      <c r="I191" s="11">
        <f>단가대비표!AE10</f>
        <v>0</v>
      </c>
      <c r="J191" s="8">
        <f>TRUNC(D191*ROUND(I191,1), 1)</f>
        <v>0</v>
      </c>
      <c r="K191" s="8">
        <f t="shared" ref="K191:L193" si="24">E191+G191+I191</f>
        <v>891</v>
      </c>
      <c r="L191" s="8">
        <f t="shared" si="24"/>
        <v>9232.5</v>
      </c>
      <c r="M191" s="17" t="s">
        <v>646</v>
      </c>
      <c r="N191" s="1" t="s">
        <v>117</v>
      </c>
      <c r="O191" s="15" t="s">
        <v>711</v>
      </c>
      <c r="P191" s="15" t="s">
        <v>646</v>
      </c>
      <c r="Q191" s="15" t="s">
        <v>646</v>
      </c>
      <c r="R191" s="15" t="s">
        <v>276</v>
      </c>
      <c r="S191" s="20">
        <v>10</v>
      </c>
      <c r="T191" s="15" t="s">
        <v>646</v>
      </c>
      <c r="U191" s="20">
        <v>10</v>
      </c>
      <c r="V191" s="20">
        <v>0</v>
      </c>
      <c r="W191" s="20">
        <v>0</v>
      </c>
      <c r="X191" s="20">
        <v>0</v>
      </c>
      <c r="Y191" s="20">
        <v>0</v>
      </c>
      <c r="Z191" s="20">
        <v>0</v>
      </c>
      <c r="AA191" s="20">
        <v>0</v>
      </c>
      <c r="AB191" s="20">
        <v>0</v>
      </c>
      <c r="AD191" s="15" t="s">
        <v>646</v>
      </c>
      <c r="AE191" s="14" t="str">
        <f>HYPERLINK("#단가대비표!B10", "▶바로가기")</f>
        <v>▶바로가기</v>
      </c>
    </row>
    <row r="192" spans="1:31" ht="30" customHeight="1" x14ac:dyDescent="0.3">
      <c r="A192" s="21" t="s">
        <v>371</v>
      </c>
      <c r="B192" s="17" t="s">
        <v>113</v>
      </c>
      <c r="C192" s="21" t="s">
        <v>107</v>
      </c>
      <c r="D192" s="24">
        <v>9.42</v>
      </c>
      <c r="E192" s="11">
        <f>일위대가목록!E34</f>
        <v>415</v>
      </c>
      <c r="F192" s="8">
        <f>TRUNC(D192*E192,1)</f>
        <v>3909.3</v>
      </c>
      <c r="G192" s="11">
        <f>일위대가목록!F34</f>
        <v>6925</v>
      </c>
      <c r="H192" s="8">
        <f>TRUNC(D192*G192,1)</f>
        <v>65233.5</v>
      </c>
      <c r="I192" s="11">
        <f>일위대가목록!G34</f>
        <v>0</v>
      </c>
      <c r="J192" s="8">
        <f>TRUNC(D192*I192,1)</f>
        <v>0</v>
      </c>
      <c r="K192" s="8">
        <f t="shared" si="24"/>
        <v>7340</v>
      </c>
      <c r="L192" s="8">
        <f t="shared" si="24"/>
        <v>69142.8</v>
      </c>
      <c r="M192" s="17" t="s">
        <v>646</v>
      </c>
      <c r="N192" s="1" t="s">
        <v>117</v>
      </c>
      <c r="O192" s="15" t="s">
        <v>80</v>
      </c>
      <c r="P192" s="15" t="s">
        <v>646</v>
      </c>
      <c r="Q192" s="15" t="s">
        <v>646</v>
      </c>
      <c r="R192" s="15" t="s">
        <v>276</v>
      </c>
      <c r="S192" s="20">
        <v>20</v>
      </c>
      <c r="T192" s="15" t="s">
        <v>646</v>
      </c>
      <c r="U192" s="20">
        <v>0</v>
      </c>
      <c r="V192" s="20">
        <v>0</v>
      </c>
      <c r="W192" s="20">
        <v>0</v>
      </c>
      <c r="X192" s="20">
        <v>0</v>
      </c>
      <c r="Y192" s="20">
        <v>0</v>
      </c>
      <c r="Z192" s="20">
        <v>0</v>
      </c>
      <c r="AA192" s="20">
        <v>0</v>
      </c>
      <c r="AB192" s="20">
        <v>0</v>
      </c>
      <c r="AD192" s="15" t="s">
        <v>646</v>
      </c>
      <c r="AE192" s="14" t="str">
        <f>HYPERLINK("#일위대가!B186", "▶바로가기")</f>
        <v>▶바로가기</v>
      </c>
    </row>
    <row r="193" spans="1:31" ht="30" customHeight="1" x14ac:dyDescent="0.3">
      <c r="A193" s="21" t="s">
        <v>189</v>
      </c>
      <c r="B193" s="17" t="s">
        <v>222</v>
      </c>
      <c r="C193" s="21" t="s">
        <v>107</v>
      </c>
      <c r="D193" s="24">
        <v>-0.75360000000000005</v>
      </c>
      <c r="E193" s="11">
        <f>단가대비표!U8</f>
        <v>261</v>
      </c>
      <c r="F193" s="8">
        <f>TRUNC(D193*ROUND(E193,1), 1)</f>
        <v>-196.6</v>
      </c>
      <c r="G193" s="11">
        <f>단가대비표!V8</f>
        <v>0</v>
      </c>
      <c r="H193" s="8">
        <f>TRUNC(D193*ROUND(G193,1), 1)</f>
        <v>0</v>
      </c>
      <c r="I193" s="11">
        <f>단가대비표!AE8</f>
        <v>0</v>
      </c>
      <c r="J193" s="8">
        <f>TRUNC(D193*ROUND(I193,1), 1)</f>
        <v>0</v>
      </c>
      <c r="K193" s="8">
        <f t="shared" si="24"/>
        <v>261</v>
      </c>
      <c r="L193" s="8">
        <f t="shared" si="24"/>
        <v>-196.6</v>
      </c>
      <c r="M193" s="17" t="s">
        <v>646</v>
      </c>
      <c r="N193" s="1" t="s">
        <v>117</v>
      </c>
      <c r="O193" s="15" t="s">
        <v>362</v>
      </c>
      <c r="P193" s="15" t="s">
        <v>646</v>
      </c>
      <c r="Q193" s="15" t="s">
        <v>646</v>
      </c>
      <c r="R193" s="15" t="s">
        <v>276</v>
      </c>
      <c r="S193" s="20">
        <v>30</v>
      </c>
      <c r="T193" s="15" t="s">
        <v>656</v>
      </c>
      <c r="U193" s="20">
        <v>0</v>
      </c>
      <c r="V193" s="20">
        <v>0</v>
      </c>
      <c r="W193" s="20">
        <v>0</v>
      </c>
      <c r="X193" s="20">
        <v>0</v>
      </c>
      <c r="Y193" s="20">
        <v>0</v>
      </c>
      <c r="Z193" s="20">
        <v>0</v>
      </c>
      <c r="AA193" s="20">
        <v>0</v>
      </c>
      <c r="AB193" s="20">
        <v>0</v>
      </c>
      <c r="AD193" s="15" t="s">
        <v>646</v>
      </c>
      <c r="AE193" s="14" t="str">
        <f>HYPERLINK("#단가대비표!B8", "▶바로가기")</f>
        <v>▶바로가기</v>
      </c>
    </row>
    <row r="194" spans="1:31" ht="30" customHeight="1" x14ac:dyDescent="0.3">
      <c r="A194" s="21" t="s">
        <v>515</v>
      </c>
      <c r="B194" s="21" t="s">
        <v>646</v>
      </c>
      <c r="C194" s="21" t="s">
        <v>646</v>
      </c>
      <c r="D194" s="21" t="s">
        <v>646</v>
      </c>
      <c r="E194" s="11">
        <v>0</v>
      </c>
      <c r="F194" s="11">
        <f>TRUNC(SUMIF(R191:R193, " ", F191:F193),0)</f>
        <v>12945</v>
      </c>
      <c r="G194" s="11">
        <v>0</v>
      </c>
      <c r="H194" s="11">
        <f>TRUNC(SUMIF(R191:R193, " ", H191:H193),0)</f>
        <v>65233</v>
      </c>
      <c r="I194" s="11">
        <v>0</v>
      </c>
      <c r="J194" s="8">
        <f>TRUNC(SUMIF(R191:R193, " ", J191:J193),0)</f>
        <v>0</v>
      </c>
      <c r="K194" s="13" t="s">
        <v>646</v>
      </c>
      <c r="L194" s="11">
        <f>F194+H194+J194</f>
        <v>78178</v>
      </c>
      <c r="M194" s="17"/>
      <c r="N194" s="6" t="s">
        <v>293</v>
      </c>
      <c r="O194" s="23" t="s">
        <v>293</v>
      </c>
    </row>
    <row r="195" spans="1:31" ht="30" customHeight="1" x14ac:dyDescent="0.3">
      <c r="A195" s="21" t="s">
        <v>646</v>
      </c>
      <c r="B195" s="21" t="s">
        <v>646</v>
      </c>
      <c r="C195" s="21" t="s">
        <v>646</v>
      </c>
      <c r="D195" s="21" t="s">
        <v>646</v>
      </c>
      <c r="E195" s="21" t="s">
        <v>646</v>
      </c>
      <c r="F195" s="21" t="s">
        <v>646</v>
      </c>
      <c r="G195" s="21" t="s">
        <v>646</v>
      </c>
      <c r="H195" s="21" t="s">
        <v>646</v>
      </c>
      <c r="I195" s="21" t="s">
        <v>646</v>
      </c>
      <c r="J195" s="21" t="s">
        <v>646</v>
      </c>
      <c r="K195" s="21" t="s">
        <v>646</v>
      </c>
      <c r="L195" s="21" t="s">
        <v>646</v>
      </c>
      <c r="M195" s="21" t="s">
        <v>646</v>
      </c>
    </row>
    <row r="196" spans="1:31" ht="30" customHeight="1" x14ac:dyDescent="0.3">
      <c r="A196" s="109" t="s">
        <v>228</v>
      </c>
      <c r="B196" s="110"/>
      <c r="C196" s="110"/>
      <c r="D196" s="110"/>
      <c r="E196" s="110"/>
      <c r="F196" s="110"/>
      <c r="G196" s="110"/>
      <c r="H196" s="110"/>
      <c r="I196" s="110"/>
      <c r="J196" s="110"/>
      <c r="K196" s="110"/>
      <c r="L196" s="110"/>
      <c r="M196" s="111"/>
      <c r="N196" s="1" t="s">
        <v>144</v>
      </c>
    </row>
    <row r="197" spans="1:31" ht="30" customHeight="1" x14ac:dyDescent="0.3">
      <c r="A197" s="21" t="s">
        <v>659</v>
      </c>
      <c r="B197" s="17" t="s">
        <v>124</v>
      </c>
      <c r="C197" s="21" t="s">
        <v>107</v>
      </c>
      <c r="D197" s="24">
        <v>1.1759999999999999</v>
      </c>
      <c r="E197" s="11">
        <f>단가대비표!U9</f>
        <v>1020</v>
      </c>
      <c r="F197" s="8">
        <f>TRUNC(D197*ROUND(E197,1), 1)</f>
        <v>1199.5</v>
      </c>
      <c r="G197" s="11">
        <f>단가대비표!V9</f>
        <v>0</v>
      </c>
      <c r="H197" s="8">
        <f>TRUNC(D197*ROUND(G197,1), 1)</f>
        <v>0</v>
      </c>
      <c r="I197" s="11">
        <f>단가대비표!AE9</f>
        <v>0</v>
      </c>
      <c r="J197" s="8">
        <f>TRUNC(D197*ROUND(I197,1), 1)</f>
        <v>0</v>
      </c>
      <c r="K197" s="8">
        <f t="shared" ref="K197:L200" si="25">E197+G197+I197</f>
        <v>1020</v>
      </c>
      <c r="L197" s="8">
        <f t="shared" si="25"/>
        <v>1199.5</v>
      </c>
      <c r="M197" s="17" t="s">
        <v>186</v>
      </c>
      <c r="N197" s="1" t="s">
        <v>144</v>
      </c>
      <c r="O197" s="15" t="s">
        <v>743</v>
      </c>
      <c r="P197" s="15" t="s">
        <v>646</v>
      </c>
      <c r="Q197" s="15" t="s">
        <v>646</v>
      </c>
      <c r="R197" s="15" t="s">
        <v>276</v>
      </c>
      <c r="S197" s="20">
        <v>10</v>
      </c>
      <c r="T197" s="15" t="s">
        <v>422</v>
      </c>
      <c r="U197" s="20">
        <v>0</v>
      </c>
      <c r="V197" s="20">
        <v>0</v>
      </c>
      <c r="W197" s="20">
        <v>0</v>
      </c>
      <c r="X197" s="20">
        <v>0</v>
      </c>
      <c r="Y197" s="20">
        <v>0</v>
      </c>
      <c r="Z197" s="20">
        <v>0</v>
      </c>
      <c r="AA197" s="20">
        <v>0</v>
      </c>
      <c r="AB197" s="20">
        <v>0</v>
      </c>
      <c r="AD197" s="15" t="s">
        <v>646</v>
      </c>
      <c r="AE197" s="14" t="str">
        <f>HYPERLINK("#단가대비표!B9", "▶바로가기")</f>
        <v>▶바로가기</v>
      </c>
    </row>
    <row r="198" spans="1:31" ht="30" customHeight="1" x14ac:dyDescent="0.3">
      <c r="A198" s="21" t="s">
        <v>371</v>
      </c>
      <c r="B198" s="17" t="s">
        <v>737</v>
      </c>
      <c r="C198" s="21" t="s">
        <v>107</v>
      </c>
      <c r="D198" s="24">
        <v>1.1200000000000001</v>
      </c>
      <c r="E198" s="11">
        <f>일위대가목록!E33</f>
        <v>426</v>
      </c>
      <c r="F198" s="8">
        <f>TRUNC(D198*E198,1)</f>
        <v>477.1</v>
      </c>
      <c r="G198" s="11">
        <f>일위대가목록!F33</f>
        <v>5328</v>
      </c>
      <c r="H198" s="8">
        <f>TRUNC(D198*G198,1)</f>
        <v>5967.3</v>
      </c>
      <c r="I198" s="11">
        <f>일위대가목록!G33</f>
        <v>0</v>
      </c>
      <c r="J198" s="8">
        <f>TRUNC(D198*I198,1)</f>
        <v>0</v>
      </c>
      <c r="K198" s="8">
        <f t="shared" si="25"/>
        <v>5754</v>
      </c>
      <c r="L198" s="8">
        <f t="shared" si="25"/>
        <v>6444.4000000000005</v>
      </c>
      <c r="M198" s="17"/>
      <c r="N198" s="1" t="s">
        <v>144</v>
      </c>
      <c r="O198" s="15" t="s">
        <v>266</v>
      </c>
      <c r="P198" s="15" t="s">
        <v>646</v>
      </c>
      <c r="Q198" s="15" t="s">
        <v>646</v>
      </c>
      <c r="R198" s="15" t="s">
        <v>276</v>
      </c>
      <c r="S198" s="20">
        <v>20</v>
      </c>
      <c r="T198" s="15" t="s">
        <v>275</v>
      </c>
      <c r="U198" s="20">
        <v>0</v>
      </c>
      <c r="V198" s="20">
        <v>0</v>
      </c>
      <c r="W198" s="20">
        <v>0</v>
      </c>
      <c r="X198" s="20">
        <v>0</v>
      </c>
      <c r="Y198" s="20">
        <v>0</v>
      </c>
      <c r="Z198" s="20">
        <v>0</v>
      </c>
      <c r="AA198" s="20">
        <v>0</v>
      </c>
      <c r="AB198" s="20">
        <v>0</v>
      </c>
      <c r="AD198" s="15" t="s">
        <v>646</v>
      </c>
      <c r="AE198" s="14" t="str">
        <f>HYPERLINK("#일위대가!B182", "▶바로가기")</f>
        <v>▶바로가기</v>
      </c>
    </row>
    <row r="199" spans="1:31" ht="30" customHeight="1" x14ac:dyDescent="0.3">
      <c r="A199" s="21" t="s">
        <v>435</v>
      </c>
      <c r="B199" s="17" t="s">
        <v>211</v>
      </c>
      <c r="C199" s="21" t="s">
        <v>128</v>
      </c>
      <c r="D199" s="24">
        <v>0.1</v>
      </c>
      <c r="E199" s="11">
        <f>일위대가목록!E44</f>
        <v>1024</v>
      </c>
      <c r="F199" s="8">
        <f>TRUNC(D199*E199,1)</f>
        <v>102.4</v>
      </c>
      <c r="G199" s="11">
        <f>일위대가목록!F44</f>
        <v>4461</v>
      </c>
      <c r="H199" s="8">
        <f>TRUNC(D199*G199,1)</f>
        <v>446.1</v>
      </c>
      <c r="I199" s="11">
        <f>일위대가목록!G44</f>
        <v>0</v>
      </c>
      <c r="J199" s="8">
        <f>TRUNC(D199*I199,1)</f>
        <v>0</v>
      </c>
      <c r="K199" s="8">
        <f t="shared" si="25"/>
        <v>5485</v>
      </c>
      <c r="L199" s="8">
        <f t="shared" si="25"/>
        <v>548.5</v>
      </c>
      <c r="M199" s="17" t="s">
        <v>646</v>
      </c>
      <c r="N199" s="1" t="s">
        <v>144</v>
      </c>
      <c r="O199" s="15" t="s">
        <v>51</v>
      </c>
      <c r="P199" s="15" t="s">
        <v>646</v>
      </c>
      <c r="Q199" s="15" t="s">
        <v>646</v>
      </c>
      <c r="R199" s="15" t="s">
        <v>276</v>
      </c>
      <c r="S199" s="20">
        <v>30</v>
      </c>
      <c r="T199" s="15" t="s">
        <v>702</v>
      </c>
      <c r="U199" s="20">
        <v>0</v>
      </c>
      <c r="V199" s="20">
        <v>0</v>
      </c>
      <c r="W199" s="20">
        <v>0</v>
      </c>
      <c r="X199" s="20">
        <v>0</v>
      </c>
      <c r="Y199" s="20">
        <v>0</v>
      </c>
      <c r="Z199" s="20">
        <v>0</v>
      </c>
      <c r="AA199" s="20">
        <v>0</v>
      </c>
      <c r="AB199" s="20">
        <v>0</v>
      </c>
      <c r="AD199" s="15" t="s">
        <v>646</v>
      </c>
      <c r="AE199" s="14" t="str">
        <f>HYPERLINK("#일위대가!B249", "▶바로가기")</f>
        <v>▶바로가기</v>
      </c>
    </row>
    <row r="200" spans="1:31" ht="30" customHeight="1" x14ac:dyDescent="0.3">
      <c r="A200" s="21" t="s">
        <v>189</v>
      </c>
      <c r="B200" s="17" t="s">
        <v>222</v>
      </c>
      <c r="C200" s="21" t="s">
        <v>107</v>
      </c>
      <c r="D200" s="24">
        <v>-4.48E-2</v>
      </c>
      <c r="E200" s="11">
        <f>단가대비표!U8</f>
        <v>261</v>
      </c>
      <c r="F200" s="8">
        <f>TRUNC(D200*ROUND(E200,1), 1)</f>
        <v>-11.6</v>
      </c>
      <c r="G200" s="11">
        <f>단가대비표!V8</f>
        <v>0</v>
      </c>
      <c r="H200" s="8">
        <f>TRUNC(D200*ROUND(G200,1), 1)</f>
        <v>0</v>
      </c>
      <c r="I200" s="11">
        <f>단가대비표!AE8</f>
        <v>0</v>
      </c>
      <c r="J200" s="8">
        <f>TRUNC(D200*ROUND(I200,1), 1)</f>
        <v>0</v>
      </c>
      <c r="K200" s="8">
        <f t="shared" si="25"/>
        <v>261</v>
      </c>
      <c r="L200" s="8">
        <f t="shared" si="25"/>
        <v>-11.6</v>
      </c>
      <c r="M200" s="17" t="s">
        <v>646</v>
      </c>
      <c r="N200" s="1" t="s">
        <v>144</v>
      </c>
      <c r="O200" s="15" t="s">
        <v>362</v>
      </c>
      <c r="P200" s="15" t="s">
        <v>646</v>
      </c>
      <c r="Q200" s="15" t="s">
        <v>646</v>
      </c>
      <c r="R200" s="15" t="s">
        <v>276</v>
      </c>
      <c r="S200" s="20">
        <v>40</v>
      </c>
      <c r="T200" s="15" t="s">
        <v>16</v>
      </c>
      <c r="U200" s="20">
        <v>0</v>
      </c>
      <c r="V200" s="20">
        <v>0</v>
      </c>
      <c r="W200" s="20">
        <v>0</v>
      </c>
      <c r="X200" s="20">
        <v>0</v>
      </c>
      <c r="Y200" s="20">
        <v>0</v>
      </c>
      <c r="Z200" s="20">
        <v>0</v>
      </c>
      <c r="AA200" s="20">
        <v>0</v>
      </c>
      <c r="AB200" s="20">
        <v>0</v>
      </c>
      <c r="AD200" s="15" t="s">
        <v>646</v>
      </c>
      <c r="AE200" s="14" t="str">
        <f>HYPERLINK("#단가대비표!B8", "▶바로가기")</f>
        <v>▶바로가기</v>
      </c>
    </row>
    <row r="201" spans="1:31" ht="30" customHeight="1" x14ac:dyDescent="0.3">
      <c r="A201" s="21" t="s">
        <v>515</v>
      </c>
      <c r="B201" s="21" t="s">
        <v>646</v>
      </c>
      <c r="C201" s="21" t="s">
        <v>646</v>
      </c>
      <c r="D201" s="21" t="s">
        <v>646</v>
      </c>
      <c r="E201" s="11">
        <v>0</v>
      </c>
      <c r="F201" s="11">
        <f>TRUNC(SUMIF(R197:R200, " ", F197:F200),0)</f>
        <v>1767</v>
      </c>
      <c r="G201" s="11">
        <v>0</v>
      </c>
      <c r="H201" s="11">
        <f>TRUNC(SUMIF(R197:R200, " ", H197:H200),0)</f>
        <v>6413</v>
      </c>
      <c r="I201" s="11">
        <v>0</v>
      </c>
      <c r="J201" s="8">
        <f>TRUNC(SUMIF(R197:R200, " ", J197:J200),0)</f>
        <v>0</v>
      </c>
      <c r="K201" s="13" t="s">
        <v>646</v>
      </c>
      <c r="L201" s="11">
        <f>F201+H201+J201</f>
        <v>8180</v>
      </c>
      <c r="M201" s="17"/>
      <c r="N201" s="6" t="s">
        <v>293</v>
      </c>
      <c r="O201" s="23" t="s">
        <v>293</v>
      </c>
    </row>
    <row r="202" spans="1:31" ht="30" customHeight="1" x14ac:dyDescent="0.3">
      <c r="A202" s="21" t="s">
        <v>646</v>
      </c>
      <c r="B202" s="21" t="s">
        <v>646</v>
      </c>
      <c r="C202" s="21" t="s">
        <v>646</v>
      </c>
      <c r="D202" s="21" t="s">
        <v>646</v>
      </c>
      <c r="E202" s="21" t="s">
        <v>646</v>
      </c>
      <c r="F202" s="21" t="s">
        <v>646</v>
      </c>
      <c r="G202" s="21" t="s">
        <v>646</v>
      </c>
      <c r="H202" s="21" t="s">
        <v>646</v>
      </c>
      <c r="I202" s="21" t="s">
        <v>646</v>
      </c>
      <c r="J202" s="21" t="s">
        <v>646</v>
      </c>
      <c r="K202" s="21" t="s">
        <v>646</v>
      </c>
      <c r="L202" s="21" t="s">
        <v>646</v>
      </c>
      <c r="M202" s="21" t="s">
        <v>646</v>
      </c>
    </row>
    <row r="203" spans="1:31" ht="30" customHeight="1" x14ac:dyDescent="0.3">
      <c r="A203" s="109" t="s">
        <v>342</v>
      </c>
      <c r="B203" s="110"/>
      <c r="C203" s="110"/>
      <c r="D203" s="110"/>
      <c r="E203" s="110"/>
      <c r="F203" s="110"/>
      <c r="G203" s="110"/>
      <c r="H203" s="110"/>
      <c r="I203" s="110"/>
      <c r="J203" s="110"/>
      <c r="K203" s="110"/>
      <c r="L203" s="110"/>
      <c r="M203" s="111"/>
      <c r="N203" s="1" t="s">
        <v>24</v>
      </c>
    </row>
    <row r="204" spans="1:31" ht="30" customHeight="1" x14ac:dyDescent="0.3">
      <c r="A204" s="21" t="s">
        <v>262</v>
      </c>
      <c r="B204" s="17" t="s">
        <v>161</v>
      </c>
      <c r="C204" s="21" t="s">
        <v>533</v>
      </c>
      <c r="D204" s="24">
        <v>0.05</v>
      </c>
      <c r="E204" s="11">
        <f>단가대비표!U29</f>
        <v>4844.3999999999996</v>
      </c>
      <c r="F204" s="8">
        <f>TRUNC(D204*ROUND(E204,1), 1)</f>
        <v>242.2</v>
      </c>
      <c r="G204" s="11">
        <f>단가대비표!V29</f>
        <v>0</v>
      </c>
      <c r="H204" s="8">
        <f>TRUNC(D204*ROUND(G204,1), 1)</f>
        <v>0</v>
      </c>
      <c r="I204" s="11">
        <f>단가대비표!AE29</f>
        <v>0</v>
      </c>
      <c r="J204" s="8">
        <f>TRUNC(D204*ROUND(I204,1), 1)</f>
        <v>0</v>
      </c>
      <c r="K204" s="8">
        <f t="shared" ref="K204:L208" si="26">E204+G204+I204</f>
        <v>4844.3999999999996</v>
      </c>
      <c r="L204" s="8">
        <f t="shared" si="26"/>
        <v>242.2</v>
      </c>
      <c r="M204" s="17"/>
      <c r="N204" s="1" t="s">
        <v>24</v>
      </c>
      <c r="O204" s="15" t="s">
        <v>662</v>
      </c>
      <c r="P204" s="15" t="s">
        <v>646</v>
      </c>
      <c r="Q204" s="15" t="s">
        <v>646</v>
      </c>
      <c r="R204" s="15" t="s">
        <v>276</v>
      </c>
      <c r="S204" s="20">
        <v>10</v>
      </c>
      <c r="T204" s="15" t="s">
        <v>646</v>
      </c>
      <c r="U204" s="20">
        <v>0</v>
      </c>
      <c r="V204" s="20">
        <v>0</v>
      </c>
      <c r="W204" s="20">
        <v>0</v>
      </c>
      <c r="X204" s="20">
        <v>0</v>
      </c>
      <c r="Y204" s="20">
        <v>0</v>
      </c>
      <c r="Z204" s="20">
        <v>0</v>
      </c>
      <c r="AA204" s="20">
        <v>0</v>
      </c>
      <c r="AB204" s="20">
        <v>0</v>
      </c>
      <c r="AD204" s="15" t="s">
        <v>646</v>
      </c>
      <c r="AE204" s="14" t="str">
        <f>HYPERLINK("#단가대비표!B29", "▶바로가기")</f>
        <v>▶바로가기</v>
      </c>
    </row>
    <row r="205" spans="1:31" ht="30" customHeight="1" x14ac:dyDescent="0.3">
      <c r="A205" s="21" t="s">
        <v>332</v>
      </c>
      <c r="B205" s="17" t="s">
        <v>413</v>
      </c>
      <c r="C205" s="21" t="s">
        <v>741</v>
      </c>
      <c r="D205" s="24">
        <v>0.1</v>
      </c>
      <c r="E205" s="11">
        <f>단가대비표!U27</f>
        <v>323</v>
      </c>
      <c r="F205" s="8">
        <f>TRUNC(D205*ROUND(E205,1), 1)</f>
        <v>32.299999999999997</v>
      </c>
      <c r="G205" s="11">
        <f>단가대비표!V27</f>
        <v>0</v>
      </c>
      <c r="H205" s="8">
        <f>TRUNC(D205*ROUND(G205,1), 1)</f>
        <v>0</v>
      </c>
      <c r="I205" s="11">
        <f>단가대비표!AE27</f>
        <v>0</v>
      </c>
      <c r="J205" s="8">
        <f>TRUNC(D205*ROUND(I205,1), 1)</f>
        <v>0</v>
      </c>
      <c r="K205" s="8">
        <f t="shared" si="26"/>
        <v>323</v>
      </c>
      <c r="L205" s="8">
        <f t="shared" si="26"/>
        <v>32.299999999999997</v>
      </c>
      <c r="M205" s="17" t="s">
        <v>276</v>
      </c>
      <c r="N205" s="1" t="s">
        <v>24</v>
      </c>
      <c r="O205" s="15" t="s">
        <v>375</v>
      </c>
      <c r="P205" s="15" t="s">
        <v>646</v>
      </c>
      <c r="Q205" s="15" t="s">
        <v>646</v>
      </c>
      <c r="R205" s="15" t="s">
        <v>276</v>
      </c>
      <c r="S205" s="20">
        <v>20</v>
      </c>
      <c r="T205" s="15" t="s">
        <v>646</v>
      </c>
      <c r="U205" s="20">
        <v>0</v>
      </c>
      <c r="V205" s="20">
        <v>0</v>
      </c>
      <c r="W205" s="20">
        <v>0</v>
      </c>
      <c r="X205" s="20">
        <v>0</v>
      </c>
      <c r="Y205" s="20">
        <v>0</v>
      </c>
      <c r="Z205" s="20">
        <v>0</v>
      </c>
      <c r="AA205" s="20">
        <v>0</v>
      </c>
      <c r="AB205" s="20">
        <v>0</v>
      </c>
      <c r="AD205" s="15" t="s">
        <v>646</v>
      </c>
      <c r="AE205" s="14" t="str">
        <f>HYPERLINK("#단가대비표!B27", "▶바로가기")</f>
        <v>▶바로가기</v>
      </c>
    </row>
    <row r="206" spans="1:31" ht="30" customHeight="1" x14ac:dyDescent="0.3">
      <c r="A206" s="21" t="s">
        <v>609</v>
      </c>
      <c r="B206" s="17" t="s">
        <v>489</v>
      </c>
      <c r="C206" s="21" t="s">
        <v>717</v>
      </c>
      <c r="D206" s="24">
        <v>0.01</v>
      </c>
      <c r="E206" s="11">
        <f>단가대비표!U59</f>
        <v>0</v>
      </c>
      <c r="F206" s="8">
        <f>TRUNC(D206*ROUND(E206,1), 1)</f>
        <v>0</v>
      </c>
      <c r="G206" s="11">
        <f>단가대비표!V59</f>
        <v>263017</v>
      </c>
      <c r="H206" s="8">
        <f>TRUNC(D206*ROUND(G206,1), 1)</f>
        <v>2630.1</v>
      </c>
      <c r="I206" s="11">
        <f>단가대비표!AE59</f>
        <v>0</v>
      </c>
      <c r="J206" s="8">
        <f>TRUNC(D206*ROUND(I206,1), 1)</f>
        <v>0</v>
      </c>
      <c r="K206" s="8">
        <f t="shared" si="26"/>
        <v>263017</v>
      </c>
      <c r="L206" s="8">
        <f t="shared" si="26"/>
        <v>2630.1</v>
      </c>
      <c r="M206" s="17"/>
      <c r="N206" s="1" t="s">
        <v>24</v>
      </c>
      <c r="O206" s="15" t="s">
        <v>396</v>
      </c>
      <c r="P206" s="15" t="s">
        <v>646</v>
      </c>
      <c r="Q206" s="15" t="s">
        <v>646</v>
      </c>
      <c r="R206" s="15" t="s">
        <v>276</v>
      </c>
      <c r="S206" s="20">
        <v>30</v>
      </c>
      <c r="T206" s="15" t="s">
        <v>646</v>
      </c>
      <c r="U206" s="20">
        <v>0</v>
      </c>
      <c r="V206" s="20">
        <v>1</v>
      </c>
      <c r="W206" s="20">
        <v>0</v>
      </c>
      <c r="X206" s="20">
        <v>0</v>
      </c>
      <c r="Y206" s="20">
        <v>0</v>
      </c>
      <c r="Z206" s="20">
        <v>0</v>
      </c>
      <c r="AA206" s="20">
        <v>0</v>
      </c>
      <c r="AB206" s="20">
        <v>0</v>
      </c>
      <c r="AD206" s="15" t="s">
        <v>646</v>
      </c>
      <c r="AE206" s="14" t="str">
        <f>HYPERLINK("#단가대비표!B59", "▶바로가기")</f>
        <v>▶바로가기</v>
      </c>
    </row>
    <row r="207" spans="1:31" ht="30" customHeight="1" x14ac:dyDescent="0.3">
      <c r="A207" s="21" t="s">
        <v>567</v>
      </c>
      <c r="B207" s="17" t="s">
        <v>489</v>
      </c>
      <c r="C207" s="21" t="s">
        <v>717</v>
      </c>
      <c r="D207" s="24">
        <v>1E-3</v>
      </c>
      <c r="E207" s="11">
        <f>단가대비표!U53</f>
        <v>0</v>
      </c>
      <c r="F207" s="8">
        <f>TRUNC(D207*ROUND(E207,1), 1)</f>
        <v>0</v>
      </c>
      <c r="G207" s="11">
        <f>단가대비표!V53</f>
        <v>172068</v>
      </c>
      <c r="H207" s="8">
        <f>TRUNC(D207*ROUND(G207,1), 1)</f>
        <v>172</v>
      </c>
      <c r="I207" s="11">
        <f>단가대비표!AE53</f>
        <v>0</v>
      </c>
      <c r="J207" s="8">
        <f>TRUNC(D207*ROUND(I207,1), 1)</f>
        <v>0</v>
      </c>
      <c r="K207" s="8">
        <f t="shared" si="26"/>
        <v>172068</v>
      </c>
      <c r="L207" s="8">
        <f t="shared" si="26"/>
        <v>172</v>
      </c>
      <c r="M207" s="17"/>
      <c r="N207" s="1" t="s">
        <v>24</v>
      </c>
      <c r="O207" s="15" t="s">
        <v>589</v>
      </c>
      <c r="P207" s="15" t="s">
        <v>646</v>
      </c>
      <c r="Q207" s="15" t="s">
        <v>646</v>
      </c>
      <c r="R207" s="15" t="s">
        <v>276</v>
      </c>
      <c r="S207" s="20">
        <v>40</v>
      </c>
      <c r="T207" s="15" t="s">
        <v>646</v>
      </c>
      <c r="U207" s="20">
        <v>0</v>
      </c>
      <c r="V207" s="20">
        <v>1</v>
      </c>
      <c r="W207" s="20">
        <v>0</v>
      </c>
      <c r="X207" s="20">
        <v>0</v>
      </c>
      <c r="Y207" s="20">
        <v>0</v>
      </c>
      <c r="Z207" s="20">
        <v>0</v>
      </c>
      <c r="AA207" s="20">
        <v>0</v>
      </c>
      <c r="AB207" s="20">
        <v>0</v>
      </c>
      <c r="AD207" s="15" t="s">
        <v>646</v>
      </c>
      <c r="AE207" s="14" t="str">
        <f>HYPERLINK("#단가대비표!B53", "▶바로가기")</f>
        <v>▶바로가기</v>
      </c>
    </row>
    <row r="208" spans="1:31" ht="30" customHeight="1" x14ac:dyDescent="0.3">
      <c r="A208" s="21" t="s">
        <v>233</v>
      </c>
      <c r="B208" s="17" t="s">
        <v>620</v>
      </c>
      <c r="C208" s="21" t="s">
        <v>738</v>
      </c>
      <c r="D208" s="24">
        <v>1</v>
      </c>
      <c r="E208" s="8">
        <f>TRUNC(SUMIF(V204:V208, RIGHTB(O208, 1), H204:H208)*U208, 1)</f>
        <v>84</v>
      </c>
      <c r="F208" s="8">
        <f>TRUNC(D208*E208,1)</f>
        <v>84</v>
      </c>
      <c r="G208" s="8">
        <v>0</v>
      </c>
      <c r="H208" s="8">
        <f>TRUNC(D208*G208,1)</f>
        <v>0</v>
      </c>
      <c r="I208" s="8">
        <v>0</v>
      </c>
      <c r="J208" s="8">
        <f>TRUNC(D208*I208,1)</f>
        <v>0</v>
      </c>
      <c r="K208" s="8">
        <f t="shared" si="26"/>
        <v>84</v>
      </c>
      <c r="L208" s="8">
        <f t="shared" si="26"/>
        <v>84</v>
      </c>
      <c r="M208" s="17"/>
      <c r="N208" s="1" t="s">
        <v>24</v>
      </c>
      <c r="O208" s="15" t="s">
        <v>456</v>
      </c>
      <c r="P208" s="15" t="s">
        <v>646</v>
      </c>
      <c r="Q208" s="15" t="s">
        <v>646</v>
      </c>
      <c r="R208" s="15" t="s">
        <v>276</v>
      </c>
      <c r="S208" s="20">
        <v>50</v>
      </c>
      <c r="T208" s="15" t="s">
        <v>253</v>
      </c>
      <c r="U208" s="20">
        <v>0.03</v>
      </c>
      <c r="V208" s="20">
        <v>0</v>
      </c>
      <c r="W208" s="20">
        <v>0</v>
      </c>
      <c r="X208" s="20">
        <v>0</v>
      </c>
      <c r="Y208" s="20">
        <v>0</v>
      </c>
      <c r="Z208" s="20">
        <v>0</v>
      </c>
      <c r="AA208" s="20">
        <v>0</v>
      </c>
      <c r="AB208" s="20">
        <v>0</v>
      </c>
      <c r="AD208" s="15" t="s">
        <v>646</v>
      </c>
      <c r="AE208" s="15" t="s">
        <v>646</v>
      </c>
    </row>
    <row r="209" spans="1:31" ht="30" customHeight="1" x14ac:dyDescent="0.3">
      <c r="A209" s="21" t="s">
        <v>515</v>
      </c>
      <c r="B209" s="21" t="s">
        <v>646</v>
      </c>
      <c r="C209" s="21" t="s">
        <v>646</v>
      </c>
      <c r="D209" s="21" t="s">
        <v>646</v>
      </c>
      <c r="E209" s="11">
        <v>0</v>
      </c>
      <c r="F209" s="11">
        <f>TRUNC(SUMIF(R204:R208, " ", F204:F208),0)</f>
        <v>358</v>
      </c>
      <c r="G209" s="11">
        <v>0</v>
      </c>
      <c r="H209" s="11">
        <f>TRUNC(SUMIF(R204:R208, " ", H204:H208),0)</f>
        <v>2802</v>
      </c>
      <c r="I209" s="11">
        <v>0</v>
      </c>
      <c r="J209" s="8">
        <f>TRUNC(SUMIF(R204:R208, " ", J204:J208),0)</f>
        <v>0</v>
      </c>
      <c r="K209" s="13" t="s">
        <v>646</v>
      </c>
      <c r="L209" s="11">
        <f>F209+H209+J209</f>
        <v>3160</v>
      </c>
      <c r="M209" s="17"/>
      <c r="N209" s="6" t="s">
        <v>293</v>
      </c>
      <c r="O209" s="23" t="s">
        <v>293</v>
      </c>
    </row>
    <row r="210" spans="1:31" ht="30" customHeight="1" x14ac:dyDescent="0.3">
      <c r="A210" s="21" t="s">
        <v>646</v>
      </c>
      <c r="B210" s="21" t="s">
        <v>646</v>
      </c>
      <c r="C210" s="21" t="s">
        <v>646</v>
      </c>
      <c r="D210" s="21" t="s">
        <v>646</v>
      </c>
      <c r="E210" s="21" t="s">
        <v>646</v>
      </c>
      <c r="F210" s="21" t="s">
        <v>646</v>
      </c>
      <c r="G210" s="21" t="s">
        <v>646</v>
      </c>
      <c r="H210" s="21" t="s">
        <v>646</v>
      </c>
      <c r="I210" s="21" t="s">
        <v>646</v>
      </c>
      <c r="J210" s="21" t="s">
        <v>646</v>
      </c>
      <c r="K210" s="21" t="s">
        <v>646</v>
      </c>
      <c r="L210" s="21" t="s">
        <v>646</v>
      </c>
      <c r="M210" s="21" t="s">
        <v>646</v>
      </c>
    </row>
    <row r="211" spans="1:31" ht="30" customHeight="1" x14ac:dyDescent="0.3">
      <c r="A211" s="109" t="s">
        <v>157</v>
      </c>
      <c r="B211" s="110"/>
      <c r="C211" s="110"/>
      <c r="D211" s="110"/>
      <c r="E211" s="110"/>
      <c r="F211" s="110"/>
      <c r="G211" s="110"/>
      <c r="H211" s="110"/>
      <c r="I211" s="110"/>
      <c r="J211" s="110"/>
      <c r="K211" s="110"/>
      <c r="L211" s="110"/>
      <c r="M211" s="111"/>
      <c r="N211" s="1" t="s">
        <v>476</v>
      </c>
    </row>
    <row r="212" spans="1:31" ht="30" customHeight="1" x14ac:dyDescent="0.3">
      <c r="A212" s="21" t="s">
        <v>262</v>
      </c>
      <c r="B212" s="17" t="s">
        <v>161</v>
      </c>
      <c r="C212" s="21" t="s">
        <v>533</v>
      </c>
      <c r="D212" s="24">
        <v>0.08</v>
      </c>
      <c r="E212" s="11">
        <f>단가대비표!U29</f>
        <v>4844.3999999999996</v>
      </c>
      <c r="F212" s="8">
        <f>TRUNC(D212*ROUND(E212,1), 1)</f>
        <v>387.5</v>
      </c>
      <c r="G212" s="11">
        <f>단가대비표!V29</f>
        <v>0</v>
      </c>
      <c r="H212" s="8">
        <f>TRUNC(D212*ROUND(G212,1), 1)</f>
        <v>0</v>
      </c>
      <c r="I212" s="11">
        <f>단가대비표!AE29</f>
        <v>0</v>
      </c>
      <c r="J212" s="8">
        <f>TRUNC(D212*ROUND(I212,1), 1)</f>
        <v>0</v>
      </c>
      <c r="K212" s="8">
        <f t="shared" ref="K212:L215" si="27">E212+G212+I212</f>
        <v>4844.3999999999996</v>
      </c>
      <c r="L212" s="8">
        <f t="shared" si="27"/>
        <v>387.5</v>
      </c>
      <c r="M212" s="17"/>
      <c r="N212" s="1" t="s">
        <v>476</v>
      </c>
      <c r="O212" s="15" t="s">
        <v>662</v>
      </c>
      <c r="P212" s="15" t="s">
        <v>646</v>
      </c>
      <c r="Q212" s="15" t="s">
        <v>646</v>
      </c>
      <c r="R212" s="15" t="s">
        <v>276</v>
      </c>
      <c r="S212" s="20">
        <v>10</v>
      </c>
      <c r="T212" s="15" t="s">
        <v>646</v>
      </c>
      <c r="U212" s="20">
        <v>0</v>
      </c>
      <c r="V212" s="20">
        <v>0</v>
      </c>
      <c r="W212" s="20">
        <v>0</v>
      </c>
      <c r="X212" s="20">
        <v>0</v>
      </c>
      <c r="Y212" s="20">
        <v>0</v>
      </c>
      <c r="Z212" s="20">
        <v>0</v>
      </c>
      <c r="AA212" s="20">
        <v>0</v>
      </c>
      <c r="AB212" s="20">
        <v>0</v>
      </c>
      <c r="AD212" s="15" t="s">
        <v>646</v>
      </c>
      <c r="AE212" s="14" t="str">
        <f>HYPERLINK("#단가대비표!B29", "▶바로가기")</f>
        <v>▶바로가기</v>
      </c>
    </row>
    <row r="213" spans="1:31" ht="30" customHeight="1" x14ac:dyDescent="0.3">
      <c r="A213" s="21" t="s">
        <v>609</v>
      </c>
      <c r="B213" s="17" t="s">
        <v>489</v>
      </c>
      <c r="C213" s="21" t="s">
        <v>717</v>
      </c>
      <c r="D213" s="24">
        <v>5.0000000000000001E-3</v>
      </c>
      <c r="E213" s="11">
        <f>단가대비표!U59</f>
        <v>0</v>
      </c>
      <c r="F213" s="8">
        <f>TRUNC(D213*ROUND(E213,1), 1)</f>
        <v>0</v>
      </c>
      <c r="G213" s="11">
        <f>단가대비표!V59</f>
        <v>263017</v>
      </c>
      <c r="H213" s="8">
        <f>TRUNC(D213*ROUND(G213,1), 1)</f>
        <v>1315</v>
      </c>
      <c r="I213" s="11">
        <f>단가대비표!AE59</f>
        <v>0</v>
      </c>
      <c r="J213" s="8">
        <f>TRUNC(D213*ROUND(I213,1), 1)</f>
        <v>0</v>
      </c>
      <c r="K213" s="8">
        <f t="shared" si="27"/>
        <v>263017</v>
      </c>
      <c r="L213" s="8">
        <f t="shared" si="27"/>
        <v>1315</v>
      </c>
      <c r="M213" s="17"/>
      <c r="N213" s="1" t="s">
        <v>476</v>
      </c>
      <c r="O213" s="15" t="s">
        <v>396</v>
      </c>
      <c r="P213" s="15" t="s">
        <v>646</v>
      </c>
      <c r="Q213" s="15" t="s">
        <v>646</v>
      </c>
      <c r="R213" s="15" t="s">
        <v>276</v>
      </c>
      <c r="S213" s="20">
        <v>20</v>
      </c>
      <c r="T213" s="15" t="s">
        <v>646</v>
      </c>
      <c r="U213" s="20">
        <v>0</v>
      </c>
      <c r="V213" s="20">
        <v>1</v>
      </c>
      <c r="W213" s="20">
        <v>0</v>
      </c>
      <c r="X213" s="20">
        <v>0</v>
      </c>
      <c r="Y213" s="20">
        <v>0</v>
      </c>
      <c r="Z213" s="20">
        <v>0</v>
      </c>
      <c r="AA213" s="20">
        <v>0</v>
      </c>
      <c r="AB213" s="20">
        <v>0</v>
      </c>
      <c r="AD213" s="15" t="s">
        <v>646</v>
      </c>
      <c r="AE213" s="14" t="str">
        <f>HYPERLINK("#단가대비표!B59", "▶바로가기")</f>
        <v>▶바로가기</v>
      </c>
    </row>
    <row r="214" spans="1:31" ht="30" customHeight="1" x14ac:dyDescent="0.3">
      <c r="A214" s="21" t="s">
        <v>567</v>
      </c>
      <c r="B214" s="17" t="s">
        <v>489</v>
      </c>
      <c r="C214" s="21" t="s">
        <v>717</v>
      </c>
      <c r="D214" s="24">
        <v>1E-3</v>
      </c>
      <c r="E214" s="11">
        <f>단가대비표!U53</f>
        <v>0</v>
      </c>
      <c r="F214" s="8">
        <f>TRUNC(D214*ROUND(E214,1), 1)</f>
        <v>0</v>
      </c>
      <c r="G214" s="11">
        <f>단가대비표!V53</f>
        <v>172068</v>
      </c>
      <c r="H214" s="8">
        <f>TRUNC(D214*ROUND(G214,1), 1)</f>
        <v>172</v>
      </c>
      <c r="I214" s="11">
        <f>단가대비표!AE53</f>
        <v>0</v>
      </c>
      <c r="J214" s="8">
        <f>TRUNC(D214*ROUND(I214,1), 1)</f>
        <v>0</v>
      </c>
      <c r="K214" s="8">
        <f t="shared" si="27"/>
        <v>172068</v>
      </c>
      <c r="L214" s="8">
        <f t="shared" si="27"/>
        <v>172</v>
      </c>
      <c r="M214" s="17"/>
      <c r="N214" s="1" t="s">
        <v>476</v>
      </c>
      <c r="O214" s="15" t="s">
        <v>589</v>
      </c>
      <c r="P214" s="15" t="s">
        <v>646</v>
      </c>
      <c r="Q214" s="15" t="s">
        <v>646</v>
      </c>
      <c r="R214" s="15" t="s">
        <v>276</v>
      </c>
      <c r="S214" s="20">
        <v>30</v>
      </c>
      <c r="T214" s="15" t="s">
        <v>646</v>
      </c>
      <c r="U214" s="20">
        <v>0</v>
      </c>
      <c r="V214" s="20">
        <v>1</v>
      </c>
      <c r="W214" s="20">
        <v>0</v>
      </c>
      <c r="X214" s="20">
        <v>0</v>
      </c>
      <c r="Y214" s="20">
        <v>0</v>
      </c>
      <c r="Z214" s="20">
        <v>0</v>
      </c>
      <c r="AA214" s="20">
        <v>0</v>
      </c>
      <c r="AB214" s="20">
        <v>0</v>
      </c>
      <c r="AD214" s="15" t="s">
        <v>646</v>
      </c>
      <c r="AE214" s="14" t="str">
        <f>HYPERLINK("#단가대비표!B53", "▶바로가기")</f>
        <v>▶바로가기</v>
      </c>
    </row>
    <row r="215" spans="1:31" ht="30" customHeight="1" x14ac:dyDescent="0.3">
      <c r="A215" s="21" t="s">
        <v>233</v>
      </c>
      <c r="B215" s="17" t="s">
        <v>620</v>
      </c>
      <c r="C215" s="21" t="s">
        <v>738</v>
      </c>
      <c r="D215" s="24">
        <v>1</v>
      </c>
      <c r="E215" s="8">
        <f>TRUNC(SUMIF(V212:V215, RIGHTB(O215, 1), H212:H215)*U215, 1)</f>
        <v>44.6</v>
      </c>
      <c r="F215" s="8">
        <f>TRUNC(D215*E215,1)</f>
        <v>44.6</v>
      </c>
      <c r="G215" s="8">
        <v>0</v>
      </c>
      <c r="H215" s="8">
        <f>TRUNC(D215*G215,1)</f>
        <v>0</v>
      </c>
      <c r="I215" s="8">
        <v>0</v>
      </c>
      <c r="J215" s="8">
        <f>TRUNC(D215*I215,1)</f>
        <v>0</v>
      </c>
      <c r="K215" s="8">
        <f t="shared" si="27"/>
        <v>44.6</v>
      </c>
      <c r="L215" s="8">
        <f t="shared" si="27"/>
        <v>44.6</v>
      </c>
      <c r="M215" s="17"/>
      <c r="N215" s="1" t="s">
        <v>476</v>
      </c>
      <c r="O215" s="15" t="s">
        <v>456</v>
      </c>
      <c r="P215" s="15" t="s">
        <v>646</v>
      </c>
      <c r="Q215" s="15" t="s">
        <v>646</v>
      </c>
      <c r="R215" s="15" t="s">
        <v>276</v>
      </c>
      <c r="S215" s="20">
        <v>40</v>
      </c>
      <c r="T215" s="15" t="s">
        <v>727</v>
      </c>
      <c r="U215" s="20">
        <v>0.03</v>
      </c>
      <c r="V215" s="20">
        <v>0</v>
      </c>
      <c r="W215" s="20">
        <v>0</v>
      </c>
      <c r="X215" s="20">
        <v>0</v>
      </c>
      <c r="Y215" s="20">
        <v>0</v>
      </c>
      <c r="Z215" s="20">
        <v>0</v>
      </c>
      <c r="AA215" s="20">
        <v>0</v>
      </c>
      <c r="AB215" s="20">
        <v>0</v>
      </c>
      <c r="AD215" s="15" t="s">
        <v>646</v>
      </c>
      <c r="AE215" s="15" t="s">
        <v>646</v>
      </c>
    </row>
    <row r="216" spans="1:31" ht="30" customHeight="1" x14ac:dyDescent="0.3">
      <c r="A216" s="21" t="s">
        <v>515</v>
      </c>
      <c r="B216" s="21" t="s">
        <v>646</v>
      </c>
      <c r="C216" s="21" t="s">
        <v>646</v>
      </c>
      <c r="D216" s="21" t="s">
        <v>646</v>
      </c>
      <c r="E216" s="11">
        <v>0</v>
      </c>
      <c r="F216" s="11">
        <f>TRUNC(SUMIF(R212:R215, " ", F212:F215),0)</f>
        <v>432</v>
      </c>
      <c r="G216" s="11">
        <v>0</v>
      </c>
      <c r="H216" s="11">
        <f>TRUNC(SUMIF(R212:R215, " ", H212:H215),0)</f>
        <v>1487</v>
      </c>
      <c r="I216" s="11">
        <v>0</v>
      </c>
      <c r="J216" s="8">
        <f>TRUNC(SUMIF(R212:R215, " ", J212:J215),0)</f>
        <v>0</v>
      </c>
      <c r="K216" s="13" t="s">
        <v>646</v>
      </c>
      <c r="L216" s="11">
        <f>F216+H216+J216</f>
        <v>1919</v>
      </c>
      <c r="M216" s="17"/>
      <c r="N216" s="6" t="s">
        <v>293</v>
      </c>
      <c r="O216" s="23" t="s">
        <v>293</v>
      </c>
    </row>
    <row r="217" spans="1:31" ht="30" customHeight="1" x14ac:dyDescent="0.3">
      <c r="A217" s="21" t="s">
        <v>646</v>
      </c>
      <c r="B217" s="21" t="s">
        <v>646</v>
      </c>
      <c r="C217" s="21" t="s">
        <v>646</v>
      </c>
      <c r="D217" s="21" t="s">
        <v>646</v>
      </c>
      <c r="E217" s="21" t="s">
        <v>646</v>
      </c>
      <c r="F217" s="21" t="s">
        <v>646</v>
      </c>
      <c r="G217" s="21" t="s">
        <v>646</v>
      </c>
      <c r="H217" s="21" t="s">
        <v>646</v>
      </c>
      <c r="I217" s="21" t="s">
        <v>646</v>
      </c>
      <c r="J217" s="21" t="s">
        <v>646</v>
      </c>
      <c r="K217" s="21" t="s">
        <v>646</v>
      </c>
      <c r="L217" s="21" t="s">
        <v>646</v>
      </c>
      <c r="M217" s="21" t="s">
        <v>646</v>
      </c>
    </row>
    <row r="218" spans="1:31" ht="30" customHeight="1" x14ac:dyDescent="0.3">
      <c r="A218" s="109" t="s">
        <v>126</v>
      </c>
      <c r="B218" s="110"/>
      <c r="C218" s="110"/>
      <c r="D218" s="110"/>
      <c r="E218" s="110"/>
      <c r="F218" s="110"/>
      <c r="G218" s="110"/>
      <c r="H218" s="110"/>
      <c r="I218" s="110"/>
      <c r="J218" s="110"/>
      <c r="K218" s="110"/>
      <c r="L218" s="110"/>
      <c r="M218" s="111"/>
      <c r="N218" s="1" t="s">
        <v>180</v>
      </c>
    </row>
    <row r="219" spans="1:31" ht="30" customHeight="1" x14ac:dyDescent="0.3">
      <c r="A219" s="21" t="s">
        <v>609</v>
      </c>
      <c r="B219" s="17" t="s">
        <v>489</v>
      </c>
      <c r="C219" s="21" t="s">
        <v>717</v>
      </c>
      <c r="D219" s="24">
        <v>0.02</v>
      </c>
      <c r="E219" s="11">
        <f>단가대비표!U59</f>
        <v>0</v>
      </c>
      <c r="F219" s="8">
        <f>TRUNC(D219*ROUND(E219,1), 1)</f>
        <v>0</v>
      </c>
      <c r="G219" s="11">
        <f>단가대비표!V59</f>
        <v>263017</v>
      </c>
      <c r="H219" s="8">
        <f>TRUNC(D219*ROUND(G219,1), 1)</f>
        <v>5260.3</v>
      </c>
      <c r="I219" s="11">
        <f>단가대비표!AE59</f>
        <v>0</v>
      </c>
      <c r="J219" s="8">
        <f>TRUNC(D219*ROUND(I219,1), 1)</f>
        <v>0</v>
      </c>
      <c r="K219" s="8">
        <f t="shared" ref="K219:L223" si="28">E219+G219+I219</f>
        <v>263017</v>
      </c>
      <c r="L219" s="8">
        <f t="shared" si="28"/>
        <v>5260.3</v>
      </c>
      <c r="M219" s="17"/>
      <c r="N219" s="1" t="s">
        <v>180</v>
      </c>
      <c r="O219" s="15" t="s">
        <v>396</v>
      </c>
      <c r="P219" s="15" t="s">
        <v>646</v>
      </c>
      <c r="Q219" s="15" t="s">
        <v>646</v>
      </c>
      <c r="R219" s="15" t="s">
        <v>276</v>
      </c>
      <c r="S219" s="20">
        <v>10</v>
      </c>
      <c r="T219" s="15" t="s">
        <v>646</v>
      </c>
      <c r="U219" s="20">
        <v>0</v>
      </c>
      <c r="V219" s="20">
        <v>1</v>
      </c>
      <c r="W219" s="20">
        <v>0</v>
      </c>
      <c r="X219" s="20">
        <v>0</v>
      </c>
      <c r="Y219" s="20">
        <v>0</v>
      </c>
      <c r="Z219" s="20">
        <v>0</v>
      </c>
      <c r="AA219" s="20">
        <v>0</v>
      </c>
      <c r="AB219" s="20">
        <v>0</v>
      </c>
      <c r="AD219" s="15" t="s">
        <v>646</v>
      </c>
      <c r="AE219" s="14" t="str">
        <f>HYPERLINK("#단가대비표!B59", "▶바로가기")</f>
        <v>▶바로가기</v>
      </c>
    </row>
    <row r="220" spans="1:31" ht="30" customHeight="1" x14ac:dyDescent="0.3">
      <c r="A220" s="21" t="s">
        <v>567</v>
      </c>
      <c r="B220" s="17" t="s">
        <v>489</v>
      </c>
      <c r="C220" s="21" t="s">
        <v>717</v>
      </c>
      <c r="D220" s="24">
        <v>4.0000000000000001E-3</v>
      </c>
      <c r="E220" s="11">
        <f>단가대비표!U53</f>
        <v>0</v>
      </c>
      <c r="F220" s="8">
        <f>TRUNC(D220*ROUND(E220,1), 1)</f>
        <v>0</v>
      </c>
      <c r="G220" s="11">
        <f>단가대비표!V53</f>
        <v>172068</v>
      </c>
      <c r="H220" s="8">
        <f>TRUNC(D220*ROUND(G220,1), 1)</f>
        <v>688.2</v>
      </c>
      <c r="I220" s="11">
        <f>단가대비표!AE53</f>
        <v>0</v>
      </c>
      <c r="J220" s="8">
        <f>TRUNC(D220*ROUND(I220,1), 1)</f>
        <v>0</v>
      </c>
      <c r="K220" s="8">
        <f t="shared" si="28"/>
        <v>172068</v>
      </c>
      <c r="L220" s="8">
        <f t="shared" si="28"/>
        <v>688.2</v>
      </c>
      <c r="M220" s="17"/>
      <c r="N220" s="1" t="s">
        <v>180</v>
      </c>
      <c r="O220" s="15" t="s">
        <v>589</v>
      </c>
      <c r="P220" s="15" t="s">
        <v>646</v>
      </c>
      <c r="Q220" s="15" t="s">
        <v>646</v>
      </c>
      <c r="R220" s="15" t="s">
        <v>276</v>
      </c>
      <c r="S220" s="20">
        <v>20</v>
      </c>
      <c r="T220" s="15" t="s">
        <v>646</v>
      </c>
      <c r="U220" s="20">
        <v>0</v>
      </c>
      <c r="V220" s="20">
        <v>1</v>
      </c>
      <c r="W220" s="20">
        <v>0</v>
      </c>
      <c r="X220" s="20">
        <v>0</v>
      </c>
      <c r="Y220" s="20">
        <v>0</v>
      </c>
      <c r="Z220" s="20">
        <v>0</v>
      </c>
      <c r="AA220" s="20">
        <v>0</v>
      </c>
      <c r="AB220" s="20">
        <v>0</v>
      </c>
      <c r="AD220" s="15" t="s">
        <v>646</v>
      </c>
      <c r="AE220" s="14" t="str">
        <f>HYPERLINK("#단가대비표!B53", "▶바로가기")</f>
        <v>▶바로가기</v>
      </c>
    </row>
    <row r="221" spans="1:31" ht="30" customHeight="1" x14ac:dyDescent="0.3">
      <c r="A221" s="21" t="s">
        <v>609</v>
      </c>
      <c r="B221" s="17" t="s">
        <v>489</v>
      </c>
      <c r="C221" s="21" t="s">
        <v>717</v>
      </c>
      <c r="D221" s="24">
        <v>0.02</v>
      </c>
      <c r="E221" s="11">
        <f>단가대비표!U59</f>
        <v>0</v>
      </c>
      <c r="F221" s="8">
        <f>TRUNC(D221*ROUND(E221,1), 1)</f>
        <v>0</v>
      </c>
      <c r="G221" s="11">
        <f>단가대비표!V59</f>
        <v>263017</v>
      </c>
      <c r="H221" s="8">
        <f>TRUNC(D221*ROUND(G221,1), 1)</f>
        <v>5260.3</v>
      </c>
      <c r="I221" s="11">
        <f>단가대비표!AE59</f>
        <v>0</v>
      </c>
      <c r="J221" s="8">
        <f>TRUNC(D221*ROUND(I221,1), 1)</f>
        <v>0</v>
      </c>
      <c r="K221" s="8">
        <f t="shared" si="28"/>
        <v>263017</v>
      </c>
      <c r="L221" s="8">
        <f t="shared" si="28"/>
        <v>5260.3</v>
      </c>
      <c r="M221" s="17"/>
      <c r="N221" s="1" t="s">
        <v>180</v>
      </c>
      <c r="O221" s="15" t="s">
        <v>396</v>
      </c>
      <c r="P221" s="15" t="s">
        <v>646</v>
      </c>
      <c r="Q221" s="15" t="s">
        <v>646</v>
      </c>
      <c r="R221" s="15" t="s">
        <v>276</v>
      </c>
      <c r="S221" s="20">
        <v>30</v>
      </c>
      <c r="T221" s="15" t="s">
        <v>646</v>
      </c>
      <c r="U221" s="20">
        <v>0</v>
      </c>
      <c r="V221" s="20">
        <v>1</v>
      </c>
      <c r="W221" s="20">
        <v>0</v>
      </c>
      <c r="X221" s="20">
        <v>0</v>
      </c>
      <c r="Y221" s="20">
        <v>0</v>
      </c>
      <c r="Z221" s="20">
        <v>0</v>
      </c>
      <c r="AA221" s="20">
        <v>0</v>
      </c>
      <c r="AB221" s="20">
        <v>0</v>
      </c>
      <c r="AD221" s="15" t="s">
        <v>646</v>
      </c>
      <c r="AE221" s="14" t="str">
        <f>HYPERLINK("#단가대비표!B59", "▶바로가기")</f>
        <v>▶바로가기</v>
      </c>
    </row>
    <row r="222" spans="1:31" ht="30" customHeight="1" x14ac:dyDescent="0.3">
      <c r="A222" s="21" t="s">
        <v>567</v>
      </c>
      <c r="B222" s="17" t="s">
        <v>489</v>
      </c>
      <c r="C222" s="21" t="s">
        <v>717</v>
      </c>
      <c r="D222" s="24">
        <v>4.0000000000000001E-3</v>
      </c>
      <c r="E222" s="11">
        <f>단가대비표!U53</f>
        <v>0</v>
      </c>
      <c r="F222" s="8">
        <f>TRUNC(D222*ROUND(E222,1), 1)</f>
        <v>0</v>
      </c>
      <c r="G222" s="11">
        <f>단가대비표!V53</f>
        <v>172068</v>
      </c>
      <c r="H222" s="8">
        <f>TRUNC(D222*ROUND(G222,1), 1)</f>
        <v>688.2</v>
      </c>
      <c r="I222" s="11">
        <f>단가대비표!AE53</f>
        <v>0</v>
      </c>
      <c r="J222" s="8">
        <f>TRUNC(D222*ROUND(I222,1), 1)</f>
        <v>0</v>
      </c>
      <c r="K222" s="8">
        <f t="shared" si="28"/>
        <v>172068</v>
      </c>
      <c r="L222" s="8">
        <f t="shared" si="28"/>
        <v>688.2</v>
      </c>
      <c r="M222" s="17"/>
      <c r="N222" s="1" t="s">
        <v>180</v>
      </c>
      <c r="O222" s="15" t="s">
        <v>589</v>
      </c>
      <c r="P222" s="15" t="s">
        <v>646</v>
      </c>
      <c r="Q222" s="15" t="s">
        <v>646</v>
      </c>
      <c r="R222" s="15" t="s">
        <v>276</v>
      </c>
      <c r="S222" s="20">
        <v>40</v>
      </c>
      <c r="T222" s="15" t="s">
        <v>646</v>
      </c>
      <c r="U222" s="20">
        <v>0</v>
      </c>
      <c r="V222" s="20">
        <v>1</v>
      </c>
      <c r="W222" s="20">
        <v>0</v>
      </c>
      <c r="X222" s="20">
        <v>0</v>
      </c>
      <c r="Y222" s="20">
        <v>0</v>
      </c>
      <c r="Z222" s="20">
        <v>0</v>
      </c>
      <c r="AA222" s="20">
        <v>0</v>
      </c>
      <c r="AB222" s="20">
        <v>0</v>
      </c>
      <c r="AD222" s="15" t="s">
        <v>646</v>
      </c>
      <c r="AE222" s="14" t="str">
        <f>HYPERLINK("#단가대비표!B53", "▶바로가기")</f>
        <v>▶바로가기</v>
      </c>
    </row>
    <row r="223" spans="1:31" ht="30" customHeight="1" x14ac:dyDescent="0.3">
      <c r="A223" s="21" t="s">
        <v>233</v>
      </c>
      <c r="B223" s="17" t="s">
        <v>5</v>
      </c>
      <c r="C223" s="21" t="s">
        <v>738</v>
      </c>
      <c r="D223" s="24">
        <v>1</v>
      </c>
      <c r="E223" s="8">
        <f>TRUNC(SUMIF(V219:V223, RIGHTB(O223, 1), H219:H223)*U223, 1)</f>
        <v>237.9</v>
      </c>
      <c r="F223" s="8">
        <f>TRUNC(D223*E223,1)</f>
        <v>237.9</v>
      </c>
      <c r="G223" s="8">
        <v>0</v>
      </c>
      <c r="H223" s="8">
        <f>TRUNC(D223*G223,1)</f>
        <v>0</v>
      </c>
      <c r="I223" s="8">
        <v>0</v>
      </c>
      <c r="J223" s="8">
        <f>TRUNC(D223*I223,1)</f>
        <v>0</v>
      </c>
      <c r="K223" s="8">
        <f t="shared" si="28"/>
        <v>237.9</v>
      </c>
      <c r="L223" s="8">
        <f t="shared" si="28"/>
        <v>237.9</v>
      </c>
      <c r="M223" s="17"/>
      <c r="N223" s="1" t="s">
        <v>180</v>
      </c>
      <c r="O223" s="15" t="s">
        <v>456</v>
      </c>
      <c r="P223" s="15" t="s">
        <v>646</v>
      </c>
      <c r="Q223" s="15" t="s">
        <v>646</v>
      </c>
      <c r="R223" s="15" t="s">
        <v>276</v>
      </c>
      <c r="S223" s="20">
        <v>50</v>
      </c>
      <c r="T223" s="15" t="s">
        <v>386</v>
      </c>
      <c r="U223" s="20">
        <v>0.02</v>
      </c>
      <c r="V223" s="20">
        <v>0</v>
      </c>
      <c r="W223" s="20">
        <v>0</v>
      </c>
      <c r="X223" s="20">
        <v>0</v>
      </c>
      <c r="Y223" s="20">
        <v>0</v>
      </c>
      <c r="Z223" s="20">
        <v>0</v>
      </c>
      <c r="AA223" s="20">
        <v>0</v>
      </c>
      <c r="AB223" s="20">
        <v>0</v>
      </c>
      <c r="AD223" s="15" t="s">
        <v>646</v>
      </c>
      <c r="AE223" s="15" t="s">
        <v>646</v>
      </c>
    </row>
    <row r="224" spans="1:31" ht="30" customHeight="1" x14ac:dyDescent="0.3">
      <c r="A224" s="21" t="s">
        <v>515</v>
      </c>
      <c r="B224" s="21" t="s">
        <v>646</v>
      </c>
      <c r="C224" s="21" t="s">
        <v>646</v>
      </c>
      <c r="D224" s="21" t="s">
        <v>646</v>
      </c>
      <c r="E224" s="11">
        <v>0</v>
      </c>
      <c r="F224" s="11">
        <f>TRUNC(SUMIF(R219:R223, " ", F219:F223),0)</f>
        <v>237</v>
      </c>
      <c r="G224" s="11">
        <v>0</v>
      </c>
      <c r="H224" s="11">
        <f>TRUNC(SUMIF(R219:R223, " ", H219:H223),0)</f>
        <v>11897</v>
      </c>
      <c r="I224" s="11">
        <v>0</v>
      </c>
      <c r="J224" s="8">
        <f>TRUNC(SUMIF(R219:R223, " ", J219:J223),0)</f>
        <v>0</v>
      </c>
      <c r="K224" s="13" t="s">
        <v>646</v>
      </c>
      <c r="L224" s="11">
        <f>F224+H224+J224</f>
        <v>12134</v>
      </c>
      <c r="M224" s="17"/>
      <c r="N224" s="6" t="s">
        <v>293</v>
      </c>
      <c r="O224" s="23" t="s">
        <v>293</v>
      </c>
    </row>
    <row r="225" spans="1:31" ht="30" customHeight="1" x14ac:dyDescent="0.3">
      <c r="A225" s="21" t="s">
        <v>646</v>
      </c>
      <c r="B225" s="21" t="s">
        <v>646</v>
      </c>
      <c r="C225" s="21" t="s">
        <v>646</v>
      </c>
      <c r="D225" s="21" t="s">
        <v>646</v>
      </c>
      <c r="E225" s="21" t="s">
        <v>646</v>
      </c>
      <c r="F225" s="21" t="s">
        <v>646</v>
      </c>
      <c r="G225" s="21" t="s">
        <v>646</v>
      </c>
      <c r="H225" s="21" t="s">
        <v>646</v>
      </c>
      <c r="I225" s="21" t="s">
        <v>646</v>
      </c>
      <c r="J225" s="21" t="s">
        <v>646</v>
      </c>
      <c r="K225" s="21" t="s">
        <v>646</v>
      </c>
      <c r="L225" s="21" t="s">
        <v>646</v>
      </c>
      <c r="M225" s="21" t="s">
        <v>646</v>
      </c>
    </row>
    <row r="226" spans="1:31" ht="30" customHeight="1" x14ac:dyDescent="0.3">
      <c r="A226" s="109" t="s">
        <v>281</v>
      </c>
      <c r="B226" s="110"/>
      <c r="C226" s="110"/>
      <c r="D226" s="110"/>
      <c r="E226" s="110"/>
      <c r="F226" s="110"/>
      <c r="G226" s="110"/>
      <c r="H226" s="110"/>
      <c r="I226" s="110"/>
      <c r="J226" s="110"/>
      <c r="K226" s="110"/>
      <c r="L226" s="110"/>
      <c r="M226" s="111"/>
      <c r="N226" s="1" t="s">
        <v>171</v>
      </c>
    </row>
    <row r="227" spans="1:31" ht="30" customHeight="1" x14ac:dyDescent="0.3">
      <c r="A227" s="21" t="s">
        <v>651</v>
      </c>
      <c r="B227" s="17" t="s">
        <v>715</v>
      </c>
      <c r="C227" s="21" t="s">
        <v>533</v>
      </c>
      <c r="D227" s="24">
        <v>0.16600000000000001</v>
      </c>
      <c r="E227" s="11">
        <f>단가대비표!U35</f>
        <v>6067</v>
      </c>
      <c r="F227" s="8">
        <f>TRUNC(D227*ROUND(E227,1), 1)</f>
        <v>1007.1</v>
      </c>
      <c r="G227" s="11">
        <f>단가대비표!V35</f>
        <v>0</v>
      </c>
      <c r="H227" s="8">
        <f>TRUNC(D227*ROUND(G227,1), 1)</f>
        <v>0</v>
      </c>
      <c r="I227" s="11">
        <f>단가대비표!AE35</f>
        <v>0</v>
      </c>
      <c r="J227" s="8">
        <f>TRUNC(D227*ROUND(I227,1), 1)</f>
        <v>0</v>
      </c>
      <c r="K227" s="8">
        <f t="shared" ref="K227:L229" si="29">E227+G227+I227</f>
        <v>6067</v>
      </c>
      <c r="L227" s="8">
        <f t="shared" si="29"/>
        <v>1007.1</v>
      </c>
      <c r="M227" s="17" t="s">
        <v>646</v>
      </c>
      <c r="N227" s="1" t="s">
        <v>171</v>
      </c>
      <c r="O227" s="15" t="s">
        <v>622</v>
      </c>
      <c r="P227" s="15" t="s">
        <v>646</v>
      </c>
      <c r="Q227" s="15" t="s">
        <v>646</v>
      </c>
      <c r="R227" s="15" t="s">
        <v>276</v>
      </c>
      <c r="S227" s="20">
        <v>10</v>
      </c>
      <c r="T227" s="15" t="s">
        <v>646</v>
      </c>
      <c r="U227" s="20">
        <v>0</v>
      </c>
      <c r="V227" s="20">
        <v>1</v>
      </c>
      <c r="W227" s="20">
        <v>0</v>
      </c>
      <c r="X227" s="20">
        <v>0</v>
      </c>
      <c r="Y227" s="20">
        <v>0</v>
      </c>
      <c r="Z227" s="20">
        <v>0</v>
      </c>
      <c r="AA227" s="20">
        <v>0</v>
      </c>
      <c r="AB227" s="20">
        <v>0</v>
      </c>
      <c r="AD227" s="15" t="s">
        <v>646</v>
      </c>
      <c r="AE227" s="14" t="str">
        <f>HYPERLINK("#단가대비표!B35", "▶바로가기")</f>
        <v>▶바로가기</v>
      </c>
    </row>
    <row r="228" spans="1:31" ht="30" customHeight="1" x14ac:dyDescent="0.3">
      <c r="A228" s="21" t="s">
        <v>70</v>
      </c>
      <c r="B228" s="17" t="s">
        <v>234</v>
      </c>
      <c r="C228" s="21" t="s">
        <v>533</v>
      </c>
      <c r="D228" s="24">
        <v>8.0000000000000002E-3</v>
      </c>
      <c r="E228" s="11">
        <f>단가대비표!U38</f>
        <v>2700</v>
      </c>
      <c r="F228" s="8">
        <f>TRUNC(D228*ROUND(E228,1), 1)</f>
        <v>21.6</v>
      </c>
      <c r="G228" s="11">
        <f>단가대비표!V38</f>
        <v>0</v>
      </c>
      <c r="H228" s="8">
        <f>TRUNC(D228*ROUND(G228,1), 1)</f>
        <v>0</v>
      </c>
      <c r="I228" s="11">
        <f>단가대비표!AE38</f>
        <v>0</v>
      </c>
      <c r="J228" s="8">
        <f>TRUNC(D228*ROUND(I228,1), 1)</f>
        <v>0</v>
      </c>
      <c r="K228" s="8">
        <f t="shared" si="29"/>
        <v>2700</v>
      </c>
      <c r="L228" s="8">
        <f t="shared" si="29"/>
        <v>21.6</v>
      </c>
      <c r="M228" s="17" t="s">
        <v>646</v>
      </c>
      <c r="N228" s="1" t="s">
        <v>171</v>
      </c>
      <c r="O228" s="15" t="s">
        <v>575</v>
      </c>
      <c r="P228" s="15" t="s">
        <v>646</v>
      </c>
      <c r="Q228" s="15" t="s">
        <v>646</v>
      </c>
      <c r="R228" s="15" t="s">
        <v>276</v>
      </c>
      <c r="S228" s="20">
        <v>20</v>
      </c>
      <c r="T228" s="15" t="s">
        <v>646</v>
      </c>
      <c r="U228" s="20">
        <v>0</v>
      </c>
      <c r="V228" s="20">
        <v>1</v>
      </c>
      <c r="W228" s="20">
        <v>0</v>
      </c>
      <c r="X228" s="20">
        <v>0</v>
      </c>
      <c r="Y228" s="20">
        <v>0</v>
      </c>
      <c r="Z228" s="20">
        <v>0</v>
      </c>
      <c r="AA228" s="20">
        <v>0</v>
      </c>
      <c r="AB228" s="20">
        <v>0</v>
      </c>
      <c r="AD228" s="15" t="s">
        <v>646</v>
      </c>
      <c r="AE228" s="14" t="str">
        <f>HYPERLINK("#단가대비표!B38", "▶바로가기")</f>
        <v>▶바로가기</v>
      </c>
    </row>
    <row r="229" spans="1:31" ht="30" customHeight="1" x14ac:dyDescent="0.3">
      <c r="A229" s="21" t="s">
        <v>675</v>
      </c>
      <c r="B229" s="17" t="s">
        <v>84</v>
      </c>
      <c r="C229" s="21" t="s">
        <v>738</v>
      </c>
      <c r="D229" s="24">
        <v>1</v>
      </c>
      <c r="E229" s="8">
        <f>TRUNC(SUMIF(V227:V229, RIGHTB(O229, 1), F227:F229)*U229, 1)</f>
        <v>41.1</v>
      </c>
      <c r="F229" s="8">
        <f>TRUNC(D229*E229,1)</f>
        <v>41.1</v>
      </c>
      <c r="G229" s="8">
        <v>0</v>
      </c>
      <c r="H229" s="8">
        <f>TRUNC(D229*G229,1)</f>
        <v>0</v>
      </c>
      <c r="I229" s="8">
        <v>0</v>
      </c>
      <c r="J229" s="8">
        <f>TRUNC(D229*I229,1)</f>
        <v>0</v>
      </c>
      <c r="K229" s="8">
        <f t="shared" si="29"/>
        <v>41.1</v>
      </c>
      <c r="L229" s="8">
        <f t="shared" si="29"/>
        <v>41.1</v>
      </c>
      <c r="M229" s="17" t="s">
        <v>646</v>
      </c>
      <c r="N229" s="1" t="s">
        <v>171</v>
      </c>
      <c r="O229" s="15" t="s">
        <v>456</v>
      </c>
      <c r="P229" s="15" t="s">
        <v>646</v>
      </c>
      <c r="Q229" s="15" t="s">
        <v>646</v>
      </c>
      <c r="R229" s="15" t="s">
        <v>276</v>
      </c>
      <c r="S229" s="20">
        <v>30</v>
      </c>
      <c r="T229" s="15" t="s">
        <v>354</v>
      </c>
      <c r="U229" s="20">
        <v>0.04</v>
      </c>
      <c r="V229" s="20">
        <v>0</v>
      </c>
      <c r="W229" s="20">
        <v>0</v>
      </c>
      <c r="X229" s="20">
        <v>0</v>
      </c>
      <c r="Y229" s="20">
        <v>0</v>
      </c>
      <c r="Z229" s="20">
        <v>0</v>
      </c>
      <c r="AA229" s="20">
        <v>0</v>
      </c>
      <c r="AB229" s="20">
        <v>0</v>
      </c>
      <c r="AD229" s="15" t="s">
        <v>646</v>
      </c>
      <c r="AE229" s="15" t="s">
        <v>646</v>
      </c>
    </row>
    <row r="230" spans="1:31" ht="30" customHeight="1" x14ac:dyDescent="0.3">
      <c r="A230" s="21" t="s">
        <v>515</v>
      </c>
      <c r="B230" s="21" t="s">
        <v>646</v>
      </c>
      <c r="C230" s="21" t="s">
        <v>646</v>
      </c>
      <c r="D230" s="21" t="s">
        <v>646</v>
      </c>
      <c r="E230" s="11">
        <v>0</v>
      </c>
      <c r="F230" s="11">
        <f>TRUNC(SUMIF(R227:R229, " ", F227:F229),0)</f>
        <v>1069</v>
      </c>
      <c r="G230" s="11">
        <v>0</v>
      </c>
      <c r="H230" s="11">
        <f>TRUNC(SUMIF(R227:R229, " ", H227:H229),0)</f>
        <v>0</v>
      </c>
      <c r="I230" s="11">
        <v>0</v>
      </c>
      <c r="J230" s="8">
        <f>TRUNC(SUMIF(R227:R229, " ", J227:J229),0)</f>
        <v>0</v>
      </c>
      <c r="K230" s="13" t="s">
        <v>646</v>
      </c>
      <c r="L230" s="11">
        <f>F230+H230+J230</f>
        <v>1069</v>
      </c>
      <c r="M230" s="17"/>
      <c r="N230" s="6" t="s">
        <v>293</v>
      </c>
      <c r="O230" s="23" t="s">
        <v>293</v>
      </c>
    </row>
    <row r="231" spans="1:31" ht="30" customHeight="1" x14ac:dyDescent="0.3">
      <c r="A231" s="21" t="s">
        <v>646</v>
      </c>
      <c r="B231" s="21" t="s">
        <v>646</v>
      </c>
      <c r="C231" s="21" t="s">
        <v>646</v>
      </c>
      <c r="D231" s="21" t="s">
        <v>646</v>
      </c>
      <c r="E231" s="21" t="s">
        <v>646</v>
      </c>
      <c r="F231" s="21" t="s">
        <v>646</v>
      </c>
      <c r="G231" s="21" t="s">
        <v>646</v>
      </c>
      <c r="H231" s="21" t="s">
        <v>646</v>
      </c>
      <c r="I231" s="21" t="s">
        <v>646</v>
      </c>
      <c r="J231" s="21" t="s">
        <v>646</v>
      </c>
      <c r="K231" s="21" t="s">
        <v>646</v>
      </c>
      <c r="L231" s="21" t="s">
        <v>646</v>
      </c>
      <c r="M231" s="21" t="s">
        <v>646</v>
      </c>
    </row>
    <row r="232" spans="1:31" ht="30" customHeight="1" x14ac:dyDescent="0.3">
      <c r="A232" s="109" t="s">
        <v>630</v>
      </c>
      <c r="B232" s="110"/>
      <c r="C232" s="110"/>
      <c r="D232" s="110"/>
      <c r="E232" s="110"/>
      <c r="F232" s="110"/>
      <c r="G232" s="110"/>
      <c r="H232" s="110"/>
      <c r="I232" s="110"/>
      <c r="J232" s="110"/>
      <c r="K232" s="110"/>
      <c r="L232" s="110"/>
      <c r="M232" s="111"/>
      <c r="N232" s="1" t="s">
        <v>660</v>
      </c>
    </row>
    <row r="233" spans="1:31" ht="30" customHeight="1" x14ac:dyDescent="0.3">
      <c r="A233" s="21" t="s">
        <v>315</v>
      </c>
      <c r="B233" s="17" t="s">
        <v>767</v>
      </c>
      <c r="C233" s="21" t="s">
        <v>128</v>
      </c>
      <c r="D233" s="24">
        <v>1</v>
      </c>
      <c r="E233" s="11">
        <f>일위대가목록!E40</f>
        <v>1069</v>
      </c>
      <c r="F233" s="8">
        <f>TRUNC(D233*E233,1)</f>
        <v>1069</v>
      </c>
      <c r="G233" s="11">
        <f>일위대가목록!F40</f>
        <v>0</v>
      </c>
      <c r="H233" s="8">
        <f>TRUNC(D233*G233,1)</f>
        <v>0</v>
      </c>
      <c r="I233" s="11">
        <f>일위대가목록!G40</f>
        <v>0</v>
      </c>
      <c r="J233" s="8">
        <f>TRUNC(D233*I233,1)</f>
        <v>0</v>
      </c>
      <c r="K233" s="8">
        <f>E233+G233+I233</f>
        <v>1069</v>
      </c>
      <c r="L233" s="8">
        <f>F233+H233+J233</f>
        <v>1069</v>
      </c>
      <c r="M233" s="17" t="s">
        <v>646</v>
      </c>
      <c r="N233" s="1" t="s">
        <v>660</v>
      </c>
      <c r="O233" s="15" t="s">
        <v>171</v>
      </c>
      <c r="P233" s="15" t="s">
        <v>646</v>
      </c>
      <c r="Q233" s="15" t="s">
        <v>646</v>
      </c>
      <c r="R233" s="15" t="s">
        <v>276</v>
      </c>
      <c r="S233" s="20">
        <v>10</v>
      </c>
      <c r="T233" s="15" t="s">
        <v>646</v>
      </c>
      <c r="U233" s="20">
        <v>0</v>
      </c>
      <c r="V233" s="20">
        <v>0</v>
      </c>
      <c r="W233" s="20">
        <v>0</v>
      </c>
      <c r="X233" s="20">
        <v>0</v>
      </c>
      <c r="Y233" s="20">
        <v>0</v>
      </c>
      <c r="Z233" s="20">
        <v>0</v>
      </c>
      <c r="AA233" s="20">
        <v>0</v>
      </c>
      <c r="AB233" s="20">
        <v>0</v>
      </c>
      <c r="AD233" s="15" t="s">
        <v>646</v>
      </c>
      <c r="AE233" s="14" t="str">
        <f>HYPERLINK("#일위대가!B226", "▶바로가기")</f>
        <v>▶바로가기</v>
      </c>
    </row>
    <row r="234" spans="1:31" ht="30" customHeight="1" x14ac:dyDescent="0.3">
      <c r="A234" s="21" t="s">
        <v>644</v>
      </c>
      <c r="B234" s="17" t="s">
        <v>285</v>
      </c>
      <c r="C234" s="21" t="s">
        <v>128</v>
      </c>
      <c r="D234" s="24">
        <v>1</v>
      </c>
      <c r="E234" s="11">
        <f>일위대가목록!E39</f>
        <v>237</v>
      </c>
      <c r="F234" s="8">
        <f>TRUNC(D234*E234,1)</f>
        <v>237</v>
      </c>
      <c r="G234" s="11">
        <f>일위대가목록!F39</f>
        <v>11897</v>
      </c>
      <c r="H234" s="8">
        <f>TRUNC(D234*G234,1)</f>
        <v>11897</v>
      </c>
      <c r="I234" s="11">
        <f>일위대가목록!G39</f>
        <v>0</v>
      </c>
      <c r="J234" s="8">
        <f>TRUNC(D234*I234,1)</f>
        <v>0</v>
      </c>
      <c r="K234" s="8">
        <f>E234+G234+I234</f>
        <v>12134</v>
      </c>
      <c r="L234" s="8">
        <f>F234+H234+J234</f>
        <v>12134</v>
      </c>
      <c r="M234" s="17"/>
      <c r="N234" s="1" t="s">
        <v>660</v>
      </c>
      <c r="O234" s="15" t="s">
        <v>180</v>
      </c>
      <c r="P234" s="15" t="s">
        <v>646</v>
      </c>
      <c r="Q234" s="15" t="s">
        <v>646</v>
      </c>
      <c r="R234" s="15" t="s">
        <v>276</v>
      </c>
      <c r="S234" s="20">
        <v>20</v>
      </c>
      <c r="T234" s="15" t="s">
        <v>646</v>
      </c>
      <c r="U234" s="20">
        <v>0</v>
      </c>
      <c r="V234" s="20">
        <v>0</v>
      </c>
      <c r="W234" s="20">
        <v>0</v>
      </c>
      <c r="X234" s="20">
        <v>0</v>
      </c>
      <c r="Y234" s="20">
        <v>0</v>
      </c>
      <c r="Z234" s="20">
        <v>0</v>
      </c>
      <c r="AA234" s="20">
        <v>0</v>
      </c>
      <c r="AB234" s="20">
        <v>0</v>
      </c>
      <c r="AD234" s="15" t="s">
        <v>646</v>
      </c>
      <c r="AE234" s="14" t="str">
        <f>HYPERLINK("#일위대가!B218", "▶바로가기")</f>
        <v>▶바로가기</v>
      </c>
    </row>
    <row r="235" spans="1:31" ht="30" customHeight="1" x14ac:dyDescent="0.3">
      <c r="A235" s="21" t="s">
        <v>515</v>
      </c>
      <c r="B235" s="21" t="s">
        <v>646</v>
      </c>
      <c r="C235" s="21" t="s">
        <v>646</v>
      </c>
      <c r="D235" s="21" t="s">
        <v>646</v>
      </c>
      <c r="E235" s="11">
        <v>0</v>
      </c>
      <c r="F235" s="11">
        <f>TRUNC(SUMIF(R233:R234, " ", F233:F234),0)</f>
        <v>1306</v>
      </c>
      <c r="G235" s="11">
        <v>0</v>
      </c>
      <c r="H235" s="11">
        <f>TRUNC(SUMIF(R233:R234, " ", H233:H234),0)</f>
        <v>11897</v>
      </c>
      <c r="I235" s="11">
        <v>0</v>
      </c>
      <c r="J235" s="8">
        <f>TRUNC(SUMIF(R233:R234, " ", J233:J234),0)</f>
        <v>0</v>
      </c>
      <c r="K235" s="13" t="s">
        <v>646</v>
      </c>
      <c r="L235" s="11">
        <f>F235+H235+J235</f>
        <v>13203</v>
      </c>
      <c r="M235" s="17"/>
      <c r="N235" s="6" t="s">
        <v>293</v>
      </c>
      <c r="O235" s="23" t="s">
        <v>293</v>
      </c>
    </row>
    <row r="236" spans="1:31" ht="30" customHeight="1" x14ac:dyDescent="0.3">
      <c r="A236" s="21" t="s">
        <v>646</v>
      </c>
      <c r="B236" s="21" t="s">
        <v>646</v>
      </c>
      <c r="C236" s="21" t="s">
        <v>646</v>
      </c>
      <c r="D236" s="21" t="s">
        <v>646</v>
      </c>
      <c r="E236" s="21" t="s">
        <v>646</v>
      </c>
      <c r="F236" s="21" t="s">
        <v>646</v>
      </c>
      <c r="G236" s="21" t="s">
        <v>646</v>
      </c>
      <c r="H236" s="21" t="s">
        <v>646</v>
      </c>
      <c r="I236" s="21" t="s">
        <v>646</v>
      </c>
      <c r="J236" s="21" t="s">
        <v>646</v>
      </c>
      <c r="K236" s="21" t="s">
        <v>646</v>
      </c>
      <c r="L236" s="21" t="s">
        <v>646</v>
      </c>
      <c r="M236" s="21" t="s">
        <v>646</v>
      </c>
    </row>
    <row r="237" spans="1:31" ht="30" customHeight="1" x14ac:dyDescent="0.3">
      <c r="A237" s="109" t="s">
        <v>501</v>
      </c>
      <c r="B237" s="110"/>
      <c r="C237" s="110"/>
      <c r="D237" s="110"/>
      <c r="E237" s="110"/>
      <c r="F237" s="110"/>
      <c r="G237" s="110"/>
      <c r="H237" s="110"/>
      <c r="I237" s="110"/>
      <c r="J237" s="110"/>
      <c r="K237" s="110"/>
      <c r="L237" s="110"/>
      <c r="M237" s="111"/>
      <c r="N237" s="1" t="s">
        <v>666</v>
      </c>
    </row>
    <row r="238" spans="1:31" ht="30" customHeight="1" x14ac:dyDescent="0.3">
      <c r="A238" s="21" t="s">
        <v>609</v>
      </c>
      <c r="B238" s="17" t="s">
        <v>489</v>
      </c>
      <c r="C238" s="21" t="s">
        <v>717</v>
      </c>
      <c r="D238" s="24">
        <v>1.4999999999999999E-2</v>
      </c>
      <c r="E238" s="11">
        <f>단가대비표!U59</f>
        <v>0</v>
      </c>
      <c r="F238" s="8">
        <f>TRUNC(D238*ROUND(E238,1), 1)</f>
        <v>0</v>
      </c>
      <c r="G238" s="11">
        <f>단가대비표!V59</f>
        <v>263017</v>
      </c>
      <c r="H238" s="8">
        <f>TRUNC(D238*ROUND(G238,1), 1)</f>
        <v>3945.2</v>
      </c>
      <c r="I238" s="11">
        <f>단가대비표!AE59</f>
        <v>0</v>
      </c>
      <c r="J238" s="8">
        <f>TRUNC(D238*ROUND(I238,1), 1)</f>
        <v>0</v>
      </c>
      <c r="K238" s="8">
        <f t="shared" ref="K238:L240" si="30">E238+G238+I238</f>
        <v>263017</v>
      </c>
      <c r="L238" s="8">
        <f t="shared" si="30"/>
        <v>3945.2</v>
      </c>
      <c r="M238" s="17"/>
      <c r="N238" s="1" t="s">
        <v>666</v>
      </c>
      <c r="O238" s="15" t="s">
        <v>396</v>
      </c>
      <c r="P238" s="15" t="s">
        <v>646</v>
      </c>
      <c r="Q238" s="15" t="s">
        <v>646</v>
      </c>
      <c r="R238" s="15" t="s">
        <v>276</v>
      </c>
      <c r="S238" s="20">
        <v>10</v>
      </c>
      <c r="T238" s="15" t="s">
        <v>646</v>
      </c>
      <c r="U238" s="20">
        <v>0</v>
      </c>
      <c r="V238" s="20">
        <v>1</v>
      </c>
      <c r="W238" s="20">
        <v>0</v>
      </c>
      <c r="X238" s="20">
        <v>0</v>
      </c>
      <c r="Y238" s="20">
        <v>0</v>
      </c>
      <c r="Z238" s="20">
        <v>0</v>
      </c>
      <c r="AA238" s="20">
        <v>0</v>
      </c>
      <c r="AB238" s="20">
        <v>0</v>
      </c>
      <c r="AD238" s="15" t="s">
        <v>646</v>
      </c>
      <c r="AE238" s="14" t="str">
        <f>HYPERLINK("#단가대비표!B59", "▶바로가기")</f>
        <v>▶바로가기</v>
      </c>
    </row>
    <row r="239" spans="1:31" ht="30" customHeight="1" x14ac:dyDescent="0.3">
      <c r="A239" s="21" t="s">
        <v>567</v>
      </c>
      <c r="B239" s="17" t="s">
        <v>489</v>
      </c>
      <c r="C239" s="21" t="s">
        <v>717</v>
      </c>
      <c r="D239" s="24">
        <v>3.0000000000000001E-3</v>
      </c>
      <c r="E239" s="11">
        <f>단가대비표!U53</f>
        <v>0</v>
      </c>
      <c r="F239" s="8">
        <f>TRUNC(D239*ROUND(E239,1), 1)</f>
        <v>0</v>
      </c>
      <c r="G239" s="11">
        <f>단가대비표!V53</f>
        <v>172068</v>
      </c>
      <c r="H239" s="8">
        <f>TRUNC(D239*ROUND(G239,1), 1)</f>
        <v>516.20000000000005</v>
      </c>
      <c r="I239" s="11">
        <f>단가대비표!AE53</f>
        <v>0</v>
      </c>
      <c r="J239" s="8">
        <f>TRUNC(D239*ROUND(I239,1), 1)</f>
        <v>0</v>
      </c>
      <c r="K239" s="8">
        <f t="shared" si="30"/>
        <v>172068</v>
      </c>
      <c r="L239" s="8">
        <f t="shared" si="30"/>
        <v>516.20000000000005</v>
      </c>
      <c r="M239" s="17"/>
      <c r="N239" s="1" t="s">
        <v>666</v>
      </c>
      <c r="O239" s="15" t="s">
        <v>589</v>
      </c>
      <c r="P239" s="15" t="s">
        <v>646</v>
      </c>
      <c r="Q239" s="15" t="s">
        <v>646</v>
      </c>
      <c r="R239" s="15" t="s">
        <v>276</v>
      </c>
      <c r="S239" s="20">
        <v>20</v>
      </c>
      <c r="T239" s="15" t="s">
        <v>646</v>
      </c>
      <c r="U239" s="20">
        <v>0</v>
      </c>
      <c r="V239" s="20">
        <v>1</v>
      </c>
      <c r="W239" s="20">
        <v>0</v>
      </c>
      <c r="X239" s="20">
        <v>0</v>
      </c>
      <c r="Y239" s="20">
        <v>0</v>
      </c>
      <c r="Z239" s="20">
        <v>0</v>
      </c>
      <c r="AA239" s="20">
        <v>0</v>
      </c>
      <c r="AB239" s="20">
        <v>0</v>
      </c>
      <c r="AD239" s="15" t="s">
        <v>646</v>
      </c>
      <c r="AE239" s="14" t="str">
        <f>HYPERLINK("#단가대비표!B53", "▶바로가기")</f>
        <v>▶바로가기</v>
      </c>
    </row>
    <row r="240" spans="1:31" ht="30" customHeight="1" x14ac:dyDescent="0.3">
      <c r="A240" s="21" t="s">
        <v>233</v>
      </c>
      <c r="B240" s="17" t="s">
        <v>5</v>
      </c>
      <c r="C240" s="21" t="s">
        <v>738</v>
      </c>
      <c r="D240" s="24">
        <v>1</v>
      </c>
      <c r="E240" s="8">
        <f>TRUNC(SUMIF(V238:V240, RIGHTB(O240, 1), H238:H240)*U240, 1)</f>
        <v>89.2</v>
      </c>
      <c r="F240" s="8">
        <f>TRUNC(D240*E240,1)</f>
        <v>89.2</v>
      </c>
      <c r="G240" s="8">
        <v>0</v>
      </c>
      <c r="H240" s="8">
        <f>TRUNC(D240*G240,1)</f>
        <v>0</v>
      </c>
      <c r="I240" s="8">
        <v>0</v>
      </c>
      <c r="J240" s="8">
        <f>TRUNC(D240*I240,1)</f>
        <v>0</v>
      </c>
      <c r="K240" s="8">
        <f t="shared" si="30"/>
        <v>89.2</v>
      </c>
      <c r="L240" s="8">
        <f t="shared" si="30"/>
        <v>89.2</v>
      </c>
      <c r="M240" s="17"/>
      <c r="N240" s="1" t="s">
        <v>666</v>
      </c>
      <c r="O240" s="15" t="s">
        <v>456</v>
      </c>
      <c r="P240" s="15" t="s">
        <v>646</v>
      </c>
      <c r="Q240" s="15" t="s">
        <v>646</v>
      </c>
      <c r="R240" s="15" t="s">
        <v>276</v>
      </c>
      <c r="S240" s="20">
        <v>30</v>
      </c>
      <c r="T240" s="15" t="s">
        <v>573</v>
      </c>
      <c r="U240" s="20">
        <v>0.02</v>
      </c>
      <c r="V240" s="20">
        <v>0</v>
      </c>
      <c r="W240" s="20">
        <v>0</v>
      </c>
      <c r="X240" s="20">
        <v>0</v>
      </c>
      <c r="Y240" s="20">
        <v>0</v>
      </c>
      <c r="Z240" s="20">
        <v>0</v>
      </c>
      <c r="AA240" s="20">
        <v>0</v>
      </c>
      <c r="AB240" s="20">
        <v>0</v>
      </c>
      <c r="AD240" s="15" t="s">
        <v>646</v>
      </c>
      <c r="AE240" s="15" t="s">
        <v>646</v>
      </c>
    </row>
    <row r="241" spans="1:31" ht="30" customHeight="1" x14ac:dyDescent="0.3">
      <c r="A241" s="21" t="s">
        <v>515</v>
      </c>
      <c r="B241" s="21" t="s">
        <v>646</v>
      </c>
      <c r="C241" s="21" t="s">
        <v>646</v>
      </c>
      <c r="D241" s="21" t="s">
        <v>646</v>
      </c>
      <c r="E241" s="11">
        <v>0</v>
      </c>
      <c r="F241" s="11">
        <f>TRUNC(SUMIF(R238:R240, " ", F238:F240),0)</f>
        <v>89</v>
      </c>
      <c r="G241" s="11">
        <v>0</v>
      </c>
      <c r="H241" s="11">
        <f>TRUNC(SUMIF(R238:R240, " ", H238:H240),0)</f>
        <v>4461</v>
      </c>
      <c r="I241" s="11">
        <v>0</v>
      </c>
      <c r="J241" s="8">
        <f>TRUNC(SUMIF(R238:R240, " ", J238:J240),0)</f>
        <v>0</v>
      </c>
      <c r="K241" s="13" t="s">
        <v>646</v>
      </c>
      <c r="L241" s="11">
        <f>F241+H241+J241</f>
        <v>4550</v>
      </c>
      <c r="M241" s="17"/>
      <c r="N241" s="6" t="s">
        <v>293</v>
      </c>
      <c r="O241" s="23" t="s">
        <v>293</v>
      </c>
    </row>
    <row r="242" spans="1:31" ht="30" customHeight="1" x14ac:dyDescent="0.3">
      <c r="A242" s="21" t="s">
        <v>646</v>
      </c>
      <c r="B242" s="21" t="s">
        <v>646</v>
      </c>
      <c r="C242" s="21" t="s">
        <v>646</v>
      </c>
      <c r="D242" s="21" t="s">
        <v>646</v>
      </c>
      <c r="E242" s="21" t="s">
        <v>646</v>
      </c>
      <c r="F242" s="21" t="s">
        <v>646</v>
      </c>
      <c r="G242" s="21" t="s">
        <v>646</v>
      </c>
      <c r="H242" s="21" t="s">
        <v>646</v>
      </c>
      <c r="I242" s="21" t="s">
        <v>646</v>
      </c>
      <c r="J242" s="21" t="s">
        <v>646</v>
      </c>
      <c r="K242" s="21" t="s">
        <v>646</v>
      </c>
      <c r="L242" s="21" t="s">
        <v>646</v>
      </c>
      <c r="M242" s="21" t="s">
        <v>646</v>
      </c>
    </row>
    <row r="243" spans="1:31" ht="30" customHeight="1" x14ac:dyDescent="0.3">
      <c r="A243" s="109" t="s">
        <v>770</v>
      </c>
      <c r="B243" s="110"/>
      <c r="C243" s="110"/>
      <c r="D243" s="110"/>
      <c r="E243" s="110"/>
      <c r="F243" s="110"/>
      <c r="G243" s="110"/>
      <c r="H243" s="110"/>
      <c r="I243" s="110"/>
      <c r="J243" s="110"/>
      <c r="K243" s="110"/>
      <c r="L243" s="110"/>
      <c r="M243" s="111"/>
      <c r="N243" s="1" t="s">
        <v>744</v>
      </c>
    </row>
    <row r="244" spans="1:31" ht="30" customHeight="1" x14ac:dyDescent="0.3">
      <c r="A244" s="21" t="s">
        <v>519</v>
      </c>
      <c r="B244" s="17" t="s">
        <v>38</v>
      </c>
      <c r="C244" s="21" t="s">
        <v>533</v>
      </c>
      <c r="D244" s="24">
        <v>0.08</v>
      </c>
      <c r="E244" s="11">
        <f>단가대비표!U34</f>
        <v>11214</v>
      </c>
      <c r="F244" s="8">
        <f>TRUNC(D244*ROUND(E244,1), 1)</f>
        <v>897.1</v>
      </c>
      <c r="G244" s="11">
        <f>단가대비표!V34</f>
        <v>0</v>
      </c>
      <c r="H244" s="8">
        <f>TRUNC(D244*ROUND(G244,1), 1)</f>
        <v>0</v>
      </c>
      <c r="I244" s="11">
        <f>단가대비표!AE34</f>
        <v>0</v>
      </c>
      <c r="J244" s="8">
        <f>TRUNC(D244*ROUND(I244,1), 1)</f>
        <v>0</v>
      </c>
      <c r="K244" s="8">
        <f t="shared" ref="K244:L246" si="31">E244+G244+I244</f>
        <v>11214</v>
      </c>
      <c r="L244" s="8">
        <f t="shared" si="31"/>
        <v>897.1</v>
      </c>
      <c r="M244" s="17" t="s">
        <v>646</v>
      </c>
      <c r="N244" s="1" t="s">
        <v>744</v>
      </c>
      <c r="O244" s="15" t="s">
        <v>464</v>
      </c>
      <c r="P244" s="15" t="s">
        <v>646</v>
      </c>
      <c r="Q244" s="15" t="s">
        <v>646</v>
      </c>
      <c r="R244" s="15" t="s">
        <v>276</v>
      </c>
      <c r="S244" s="20">
        <v>10</v>
      </c>
      <c r="T244" s="15" t="s">
        <v>646</v>
      </c>
      <c r="U244" s="20">
        <v>0</v>
      </c>
      <c r="V244" s="20">
        <v>1</v>
      </c>
      <c r="W244" s="20">
        <v>0</v>
      </c>
      <c r="X244" s="20">
        <v>0</v>
      </c>
      <c r="Y244" s="20">
        <v>0</v>
      </c>
      <c r="Z244" s="20">
        <v>0</v>
      </c>
      <c r="AA244" s="20">
        <v>0</v>
      </c>
      <c r="AB244" s="20">
        <v>0</v>
      </c>
      <c r="AD244" s="15" t="s">
        <v>646</v>
      </c>
      <c r="AE244" s="14" t="str">
        <f>HYPERLINK("#단가대비표!B34", "▶바로가기")</f>
        <v>▶바로가기</v>
      </c>
    </row>
    <row r="245" spans="1:31" ht="30" customHeight="1" x14ac:dyDescent="0.3">
      <c r="A245" s="21" t="s">
        <v>70</v>
      </c>
      <c r="B245" s="17" t="s">
        <v>234</v>
      </c>
      <c r="C245" s="21" t="s">
        <v>533</v>
      </c>
      <c r="D245" s="24">
        <v>4.0000000000000001E-3</v>
      </c>
      <c r="E245" s="11">
        <f>단가대비표!U38</f>
        <v>2700</v>
      </c>
      <c r="F245" s="8">
        <f>TRUNC(D245*ROUND(E245,1), 1)</f>
        <v>10.8</v>
      </c>
      <c r="G245" s="11">
        <f>단가대비표!V38</f>
        <v>0</v>
      </c>
      <c r="H245" s="8">
        <f>TRUNC(D245*ROUND(G245,1), 1)</f>
        <v>0</v>
      </c>
      <c r="I245" s="11">
        <f>단가대비표!AE38</f>
        <v>0</v>
      </c>
      <c r="J245" s="8">
        <f>TRUNC(D245*ROUND(I245,1), 1)</f>
        <v>0</v>
      </c>
      <c r="K245" s="8">
        <f t="shared" si="31"/>
        <v>2700</v>
      </c>
      <c r="L245" s="8">
        <f t="shared" si="31"/>
        <v>10.8</v>
      </c>
      <c r="M245" s="17" t="s">
        <v>646</v>
      </c>
      <c r="N245" s="1" t="s">
        <v>744</v>
      </c>
      <c r="O245" s="15" t="s">
        <v>575</v>
      </c>
      <c r="P245" s="15" t="s">
        <v>646</v>
      </c>
      <c r="Q245" s="15" t="s">
        <v>646</v>
      </c>
      <c r="R245" s="15" t="s">
        <v>276</v>
      </c>
      <c r="S245" s="20">
        <v>20</v>
      </c>
      <c r="T245" s="15" t="s">
        <v>646</v>
      </c>
      <c r="U245" s="20">
        <v>0</v>
      </c>
      <c r="V245" s="20">
        <v>1</v>
      </c>
      <c r="W245" s="20">
        <v>0</v>
      </c>
      <c r="X245" s="20">
        <v>0</v>
      </c>
      <c r="Y245" s="20">
        <v>0</v>
      </c>
      <c r="Z245" s="20">
        <v>0</v>
      </c>
      <c r="AA245" s="20">
        <v>0</v>
      </c>
      <c r="AB245" s="20">
        <v>0</v>
      </c>
      <c r="AD245" s="15" t="s">
        <v>646</v>
      </c>
      <c r="AE245" s="14" t="str">
        <f>HYPERLINK("#단가대비표!B38", "▶바로가기")</f>
        <v>▶바로가기</v>
      </c>
    </row>
    <row r="246" spans="1:31" ht="30" customHeight="1" x14ac:dyDescent="0.3">
      <c r="A246" s="21" t="s">
        <v>675</v>
      </c>
      <c r="B246" s="17" t="s">
        <v>190</v>
      </c>
      <c r="C246" s="21" t="s">
        <v>738</v>
      </c>
      <c r="D246" s="24">
        <v>1</v>
      </c>
      <c r="E246" s="8">
        <f>TRUNC(SUMIF(V244:V246, RIGHTB(O246, 1), F244:F246)*U246, 1)</f>
        <v>27.2</v>
      </c>
      <c r="F246" s="8">
        <f>TRUNC(D246*E246,1)</f>
        <v>27.2</v>
      </c>
      <c r="G246" s="8">
        <v>0</v>
      </c>
      <c r="H246" s="8">
        <f>TRUNC(D246*G246,1)</f>
        <v>0</v>
      </c>
      <c r="I246" s="8">
        <v>0</v>
      </c>
      <c r="J246" s="8">
        <f>TRUNC(D246*I246,1)</f>
        <v>0</v>
      </c>
      <c r="K246" s="8">
        <f t="shared" si="31"/>
        <v>27.2</v>
      </c>
      <c r="L246" s="8">
        <f t="shared" si="31"/>
        <v>27.2</v>
      </c>
      <c r="M246" s="17" t="s">
        <v>646</v>
      </c>
      <c r="N246" s="1" t="s">
        <v>744</v>
      </c>
      <c r="O246" s="15" t="s">
        <v>456</v>
      </c>
      <c r="P246" s="15" t="s">
        <v>646</v>
      </c>
      <c r="Q246" s="15" t="s">
        <v>646</v>
      </c>
      <c r="R246" s="15" t="s">
        <v>276</v>
      </c>
      <c r="S246" s="20">
        <v>30</v>
      </c>
      <c r="T246" s="15" t="s">
        <v>597</v>
      </c>
      <c r="U246" s="20">
        <v>0.03</v>
      </c>
      <c r="V246" s="20">
        <v>0</v>
      </c>
      <c r="W246" s="20">
        <v>0</v>
      </c>
      <c r="X246" s="20">
        <v>0</v>
      </c>
      <c r="Y246" s="20">
        <v>0</v>
      </c>
      <c r="Z246" s="20">
        <v>0</v>
      </c>
      <c r="AA246" s="20">
        <v>0</v>
      </c>
      <c r="AB246" s="20">
        <v>0</v>
      </c>
      <c r="AD246" s="15" t="s">
        <v>646</v>
      </c>
      <c r="AE246" s="15" t="s">
        <v>646</v>
      </c>
    </row>
    <row r="247" spans="1:31" ht="30" customHeight="1" x14ac:dyDescent="0.3">
      <c r="A247" s="21" t="s">
        <v>515</v>
      </c>
      <c r="B247" s="21" t="s">
        <v>646</v>
      </c>
      <c r="C247" s="21" t="s">
        <v>646</v>
      </c>
      <c r="D247" s="21" t="s">
        <v>646</v>
      </c>
      <c r="E247" s="11">
        <v>0</v>
      </c>
      <c r="F247" s="11">
        <f>TRUNC(SUMIF(R244:R246, " ", F244:F246),0)</f>
        <v>935</v>
      </c>
      <c r="G247" s="11">
        <v>0</v>
      </c>
      <c r="H247" s="11">
        <f>TRUNC(SUMIF(R244:R246, " ", H244:H246),0)</f>
        <v>0</v>
      </c>
      <c r="I247" s="11">
        <v>0</v>
      </c>
      <c r="J247" s="8">
        <f>TRUNC(SUMIF(R244:R246, " ", J244:J246),0)</f>
        <v>0</v>
      </c>
      <c r="K247" s="13" t="s">
        <v>646</v>
      </c>
      <c r="L247" s="11">
        <f>F247+H247+J247</f>
        <v>935</v>
      </c>
      <c r="M247" s="17"/>
      <c r="N247" s="6" t="s">
        <v>293</v>
      </c>
      <c r="O247" s="23" t="s">
        <v>293</v>
      </c>
    </row>
    <row r="248" spans="1:31" ht="30" customHeight="1" x14ac:dyDescent="0.3">
      <c r="A248" s="21" t="s">
        <v>646</v>
      </c>
      <c r="B248" s="21" t="s">
        <v>646</v>
      </c>
      <c r="C248" s="21" t="s">
        <v>646</v>
      </c>
      <c r="D248" s="21" t="s">
        <v>646</v>
      </c>
      <c r="E248" s="21" t="s">
        <v>646</v>
      </c>
      <c r="F248" s="21" t="s">
        <v>646</v>
      </c>
      <c r="G248" s="21" t="s">
        <v>646</v>
      </c>
      <c r="H248" s="21" t="s">
        <v>646</v>
      </c>
      <c r="I248" s="21" t="s">
        <v>646</v>
      </c>
      <c r="J248" s="21" t="s">
        <v>646</v>
      </c>
      <c r="K248" s="21" t="s">
        <v>646</v>
      </c>
      <c r="L248" s="21" t="s">
        <v>646</v>
      </c>
      <c r="M248" s="21" t="s">
        <v>646</v>
      </c>
    </row>
    <row r="249" spans="1:31" ht="30" customHeight="1" x14ac:dyDescent="0.3">
      <c r="A249" s="109" t="s">
        <v>95</v>
      </c>
      <c r="B249" s="110"/>
      <c r="C249" s="110"/>
      <c r="D249" s="110"/>
      <c r="E249" s="110"/>
      <c r="F249" s="110"/>
      <c r="G249" s="110"/>
      <c r="H249" s="110"/>
      <c r="I249" s="110"/>
      <c r="J249" s="110"/>
      <c r="K249" s="110"/>
      <c r="L249" s="110"/>
      <c r="M249" s="111"/>
      <c r="N249" s="1" t="s">
        <v>51</v>
      </c>
    </row>
    <row r="250" spans="1:31" ht="30" customHeight="1" x14ac:dyDescent="0.3">
      <c r="A250" s="21" t="s">
        <v>685</v>
      </c>
      <c r="B250" s="17" t="s">
        <v>740</v>
      </c>
      <c r="C250" s="21" t="s">
        <v>128</v>
      </c>
      <c r="D250" s="24">
        <v>1</v>
      </c>
      <c r="E250" s="11">
        <f>일위대가목록!E43</f>
        <v>935</v>
      </c>
      <c r="F250" s="8">
        <f>TRUNC(D250*E250,1)</f>
        <v>935</v>
      </c>
      <c r="G250" s="11">
        <f>일위대가목록!F43</f>
        <v>0</v>
      </c>
      <c r="H250" s="8">
        <f>TRUNC(D250*G250,1)</f>
        <v>0</v>
      </c>
      <c r="I250" s="11">
        <f>일위대가목록!G43</f>
        <v>0</v>
      </c>
      <c r="J250" s="8">
        <f>TRUNC(D250*I250,1)</f>
        <v>0</v>
      </c>
      <c r="K250" s="8">
        <f>E250+G250+I250</f>
        <v>935</v>
      </c>
      <c r="L250" s="8">
        <f>F250+H250+J250</f>
        <v>935</v>
      </c>
      <c r="M250" s="17" t="s">
        <v>646</v>
      </c>
      <c r="N250" s="1" t="s">
        <v>51</v>
      </c>
      <c r="O250" s="15" t="s">
        <v>744</v>
      </c>
      <c r="P250" s="15" t="s">
        <v>646</v>
      </c>
      <c r="Q250" s="15" t="s">
        <v>646</v>
      </c>
      <c r="R250" s="15" t="s">
        <v>276</v>
      </c>
      <c r="S250" s="20">
        <v>10</v>
      </c>
      <c r="T250" s="15" t="s">
        <v>646</v>
      </c>
      <c r="U250" s="20">
        <v>0</v>
      </c>
      <c r="V250" s="20">
        <v>0</v>
      </c>
      <c r="W250" s="20">
        <v>0</v>
      </c>
      <c r="X250" s="20">
        <v>0</v>
      </c>
      <c r="Y250" s="20">
        <v>0</v>
      </c>
      <c r="Z250" s="20">
        <v>0</v>
      </c>
      <c r="AA250" s="20">
        <v>0</v>
      </c>
      <c r="AB250" s="20">
        <v>0</v>
      </c>
      <c r="AD250" s="15" t="s">
        <v>646</v>
      </c>
      <c r="AE250" s="14" t="str">
        <f>HYPERLINK("#일위대가!B243", "▶바로가기")</f>
        <v>▶바로가기</v>
      </c>
    </row>
    <row r="251" spans="1:31" ht="30" customHeight="1" x14ac:dyDescent="0.3">
      <c r="A251" s="21" t="s">
        <v>25</v>
      </c>
      <c r="B251" s="17" t="s">
        <v>85</v>
      </c>
      <c r="C251" s="21" t="s">
        <v>128</v>
      </c>
      <c r="D251" s="24">
        <v>1</v>
      </c>
      <c r="E251" s="11">
        <f>일위대가목록!E42</f>
        <v>89</v>
      </c>
      <c r="F251" s="8">
        <f>TRUNC(D251*E251,1)</f>
        <v>89</v>
      </c>
      <c r="G251" s="11">
        <f>일위대가목록!F42</f>
        <v>4461</v>
      </c>
      <c r="H251" s="8">
        <f>TRUNC(D251*G251,1)</f>
        <v>4461</v>
      </c>
      <c r="I251" s="11">
        <f>일위대가목록!G42</f>
        <v>0</v>
      </c>
      <c r="J251" s="8">
        <f>TRUNC(D251*I251,1)</f>
        <v>0</v>
      </c>
      <c r="K251" s="8">
        <f>E251+G251+I251</f>
        <v>4550</v>
      </c>
      <c r="L251" s="8">
        <f>F251+H251+J251</f>
        <v>4550</v>
      </c>
      <c r="M251" s="17"/>
      <c r="N251" s="1" t="s">
        <v>51</v>
      </c>
      <c r="O251" s="15" t="s">
        <v>666</v>
      </c>
      <c r="P251" s="15" t="s">
        <v>646</v>
      </c>
      <c r="Q251" s="15" t="s">
        <v>646</v>
      </c>
      <c r="R251" s="15" t="s">
        <v>276</v>
      </c>
      <c r="S251" s="20">
        <v>20</v>
      </c>
      <c r="T251" s="15" t="s">
        <v>646</v>
      </c>
      <c r="U251" s="20">
        <v>0</v>
      </c>
      <c r="V251" s="20">
        <v>0</v>
      </c>
      <c r="W251" s="20">
        <v>0</v>
      </c>
      <c r="X251" s="20">
        <v>0</v>
      </c>
      <c r="Y251" s="20">
        <v>0</v>
      </c>
      <c r="Z251" s="20">
        <v>0</v>
      </c>
      <c r="AA251" s="20">
        <v>0</v>
      </c>
      <c r="AB251" s="20">
        <v>0</v>
      </c>
      <c r="AD251" s="15" t="s">
        <v>646</v>
      </c>
      <c r="AE251" s="14" t="str">
        <f>HYPERLINK("#일위대가!B237", "▶바로가기")</f>
        <v>▶바로가기</v>
      </c>
    </row>
    <row r="252" spans="1:31" ht="30" customHeight="1" x14ac:dyDescent="0.3">
      <c r="A252" s="21" t="s">
        <v>515</v>
      </c>
      <c r="B252" s="21" t="s">
        <v>646</v>
      </c>
      <c r="C252" s="21" t="s">
        <v>646</v>
      </c>
      <c r="D252" s="21" t="s">
        <v>646</v>
      </c>
      <c r="E252" s="11">
        <v>0</v>
      </c>
      <c r="F252" s="11">
        <f>TRUNC(SUMIF(R250:R251, " ", F250:F251),0)</f>
        <v>1024</v>
      </c>
      <c r="G252" s="11">
        <v>0</v>
      </c>
      <c r="H252" s="11">
        <f>TRUNC(SUMIF(R250:R251, " ", H250:H251),0)</f>
        <v>4461</v>
      </c>
      <c r="I252" s="11">
        <v>0</v>
      </c>
      <c r="J252" s="8">
        <f>TRUNC(SUMIF(R250:R251, " ", J250:J251),0)</f>
        <v>0</v>
      </c>
      <c r="K252" s="13" t="s">
        <v>646</v>
      </c>
      <c r="L252" s="11">
        <f>F252+H252+J252</f>
        <v>5485</v>
      </c>
      <c r="M252" s="17"/>
      <c r="N252" s="6" t="s">
        <v>293</v>
      </c>
      <c r="O252" s="23" t="s">
        <v>293</v>
      </c>
    </row>
    <row r="253" spans="1:31" ht="30" customHeight="1" x14ac:dyDescent="0.3">
      <c r="A253" s="21" t="s">
        <v>646</v>
      </c>
      <c r="B253" s="21" t="s">
        <v>646</v>
      </c>
      <c r="C253" s="21" t="s">
        <v>646</v>
      </c>
      <c r="D253" s="21" t="s">
        <v>646</v>
      </c>
      <c r="E253" s="21" t="s">
        <v>646</v>
      </c>
      <c r="F253" s="21" t="s">
        <v>646</v>
      </c>
      <c r="G253" s="21" t="s">
        <v>646</v>
      </c>
      <c r="H253" s="21" t="s">
        <v>646</v>
      </c>
      <c r="I253" s="21" t="s">
        <v>646</v>
      </c>
      <c r="J253" s="21" t="s">
        <v>646</v>
      </c>
      <c r="K253" s="21" t="s">
        <v>646</v>
      </c>
      <c r="L253" s="21" t="s">
        <v>646</v>
      </c>
      <c r="M253" s="21" t="s">
        <v>646</v>
      </c>
    </row>
    <row r="254" spans="1:31" ht="30" customHeight="1" x14ac:dyDescent="0.3">
      <c r="A254" s="109" t="s">
        <v>29</v>
      </c>
      <c r="B254" s="110"/>
      <c r="C254" s="110"/>
      <c r="D254" s="110"/>
      <c r="E254" s="110"/>
      <c r="F254" s="110"/>
      <c r="G254" s="110"/>
      <c r="H254" s="110"/>
      <c r="I254" s="110"/>
      <c r="J254" s="110"/>
      <c r="K254" s="110"/>
      <c r="L254" s="110"/>
      <c r="M254" s="111"/>
      <c r="N254" s="1" t="s">
        <v>793</v>
      </c>
    </row>
    <row r="255" spans="1:31" ht="30" customHeight="1" x14ac:dyDescent="0.3">
      <c r="A255" s="21" t="s">
        <v>609</v>
      </c>
      <c r="B255" s="17" t="s">
        <v>489</v>
      </c>
      <c r="C255" s="21" t="s">
        <v>717</v>
      </c>
      <c r="D255" s="24">
        <v>3.1E-2</v>
      </c>
      <c r="E255" s="11">
        <f>단가대비표!U59</f>
        <v>0</v>
      </c>
      <c r="F255" s="8">
        <f>TRUNC(D255*ROUND(E255,1), 1)</f>
        <v>0</v>
      </c>
      <c r="G255" s="11">
        <f>단가대비표!V59</f>
        <v>263017</v>
      </c>
      <c r="H255" s="8">
        <f>TRUNC(D255*ROUND(G255,1), 1)</f>
        <v>8153.5</v>
      </c>
      <c r="I255" s="11">
        <f>단가대비표!AE59</f>
        <v>0</v>
      </c>
      <c r="J255" s="8">
        <f>TRUNC(D255*ROUND(I255,1), 1)</f>
        <v>0</v>
      </c>
      <c r="K255" s="8">
        <f t="shared" ref="K255:L257" si="32">E255+G255+I255</f>
        <v>263017</v>
      </c>
      <c r="L255" s="8">
        <f t="shared" si="32"/>
        <v>8153.5</v>
      </c>
      <c r="M255" s="17"/>
      <c r="N255" s="1" t="s">
        <v>793</v>
      </c>
      <c r="O255" s="15" t="s">
        <v>396</v>
      </c>
      <c r="P255" s="15" t="s">
        <v>646</v>
      </c>
      <c r="Q255" s="15" t="s">
        <v>646</v>
      </c>
      <c r="R255" s="15" t="s">
        <v>276</v>
      </c>
      <c r="S255" s="20">
        <v>10</v>
      </c>
      <c r="T255" s="15" t="s">
        <v>646</v>
      </c>
      <c r="U255" s="20">
        <v>0</v>
      </c>
      <c r="V255" s="20">
        <v>1</v>
      </c>
      <c r="W255" s="20">
        <v>0</v>
      </c>
      <c r="X255" s="20">
        <v>0</v>
      </c>
      <c r="Y255" s="20">
        <v>0</v>
      </c>
      <c r="Z255" s="20">
        <v>0</v>
      </c>
      <c r="AA255" s="20">
        <v>0</v>
      </c>
      <c r="AB255" s="20">
        <v>0</v>
      </c>
      <c r="AD255" s="15" t="s">
        <v>646</v>
      </c>
      <c r="AE255" s="14" t="str">
        <f>HYPERLINK("#단가대비표!B59", "▶바로가기")</f>
        <v>▶바로가기</v>
      </c>
    </row>
    <row r="256" spans="1:31" ht="30" customHeight="1" x14ac:dyDescent="0.3">
      <c r="A256" s="21" t="s">
        <v>567</v>
      </c>
      <c r="B256" s="17" t="s">
        <v>489</v>
      </c>
      <c r="C256" s="21" t="s">
        <v>717</v>
      </c>
      <c r="D256" s="24">
        <v>7.0000000000000001E-3</v>
      </c>
      <c r="E256" s="11">
        <f>단가대비표!U53</f>
        <v>0</v>
      </c>
      <c r="F256" s="8">
        <f>TRUNC(D256*ROUND(E256,1), 1)</f>
        <v>0</v>
      </c>
      <c r="G256" s="11">
        <f>단가대비표!V53</f>
        <v>172068</v>
      </c>
      <c r="H256" s="8">
        <f>TRUNC(D256*ROUND(G256,1), 1)</f>
        <v>1204.4000000000001</v>
      </c>
      <c r="I256" s="11">
        <f>단가대비표!AE53</f>
        <v>0</v>
      </c>
      <c r="J256" s="8">
        <f>TRUNC(D256*ROUND(I256,1), 1)</f>
        <v>0</v>
      </c>
      <c r="K256" s="8">
        <f t="shared" si="32"/>
        <v>172068</v>
      </c>
      <c r="L256" s="8">
        <f t="shared" si="32"/>
        <v>1204.4000000000001</v>
      </c>
      <c r="M256" s="17"/>
      <c r="N256" s="1" t="s">
        <v>793</v>
      </c>
      <c r="O256" s="15" t="s">
        <v>589</v>
      </c>
      <c r="P256" s="15" t="s">
        <v>646</v>
      </c>
      <c r="Q256" s="15" t="s">
        <v>646</v>
      </c>
      <c r="R256" s="15" t="s">
        <v>276</v>
      </c>
      <c r="S256" s="20">
        <v>20</v>
      </c>
      <c r="T256" s="15" t="s">
        <v>646</v>
      </c>
      <c r="U256" s="20">
        <v>0</v>
      </c>
      <c r="V256" s="20">
        <v>1</v>
      </c>
      <c r="W256" s="20">
        <v>0</v>
      </c>
      <c r="X256" s="20">
        <v>0</v>
      </c>
      <c r="Y256" s="20">
        <v>0</v>
      </c>
      <c r="Z256" s="20">
        <v>0</v>
      </c>
      <c r="AA256" s="20">
        <v>0</v>
      </c>
      <c r="AB256" s="20">
        <v>0</v>
      </c>
      <c r="AD256" s="15" t="s">
        <v>646</v>
      </c>
      <c r="AE256" s="14" t="str">
        <f>HYPERLINK("#단가대비표!B53", "▶바로가기")</f>
        <v>▶바로가기</v>
      </c>
    </row>
    <row r="257" spans="1:31" ht="30" customHeight="1" x14ac:dyDescent="0.3">
      <c r="A257" s="21" t="s">
        <v>233</v>
      </c>
      <c r="B257" s="17" t="s">
        <v>620</v>
      </c>
      <c r="C257" s="21" t="s">
        <v>738</v>
      </c>
      <c r="D257" s="24">
        <v>1</v>
      </c>
      <c r="E257" s="8">
        <f>TRUNC(SUMIF(V255:V257, RIGHTB(O257, 1), H255:H257)*U257, 1)</f>
        <v>280.7</v>
      </c>
      <c r="F257" s="8">
        <f>TRUNC(D257*E257,1)</f>
        <v>280.7</v>
      </c>
      <c r="G257" s="8">
        <v>0</v>
      </c>
      <c r="H257" s="8">
        <f>TRUNC(D257*G257,1)</f>
        <v>0</v>
      </c>
      <c r="I257" s="8">
        <v>0</v>
      </c>
      <c r="J257" s="8">
        <f>TRUNC(D257*I257,1)</f>
        <v>0</v>
      </c>
      <c r="K257" s="8">
        <f t="shared" si="32"/>
        <v>280.7</v>
      </c>
      <c r="L257" s="8">
        <f t="shared" si="32"/>
        <v>280.7</v>
      </c>
      <c r="M257" s="17"/>
      <c r="N257" s="1" t="s">
        <v>793</v>
      </c>
      <c r="O257" s="15" t="s">
        <v>456</v>
      </c>
      <c r="P257" s="15" t="s">
        <v>646</v>
      </c>
      <c r="Q257" s="15" t="s">
        <v>646</v>
      </c>
      <c r="R257" s="15" t="s">
        <v>276</v>
      </c>
      <c r="S257" s="20">
        <v>30</v>
      </c>
      <c r="T257" s="15" t="s">
        <v>453</v>
      </c>
      <c r="U257" s="20">
        <v>0.03</v>
      </c>
      <c r="V257" s="20">
        <v>0</v>
      </c>
      <c r="W257" s="20">
        <v>0</v>
      </c>
      <c r="X257" s="20">
        <v>0</v>
      </c>
      <c r="Y257" s="20">
        <v>0</v>
      </c>
      <c r="Z257" s="20">
        <v>0</v>
      </c>
      <c r="AA257" s="20">
        <v>0</v>
      </c>
      <c r="AB257" s="20">
        <v>0</v>
      </c>
      <c r="AD257" s="15" t="s">
        <v>646</v>
      </c>
      <c r="AE257" s="15" t="s">
        <v>646</v>
      </c>
    </row>
    <row r="258" spans="1:31" ht="30" customHeight="1" x14ac:dyDescent="0.3">
      <c r="A258" s="21" t="s">
        <v>515</v>
      </c>
      <c r="B258" s="21" t="s">
        <v>646</v>
      </c>
      <c r="C258" s="21" t="s">
        <v>646</v>
      </c>
      <c r="D258" s="21" t="s">
        <v>646</v>
      </c>
      <c r="E258" s="11">
        <v>0</v>
      </c>
      <c r="F258" s="11">
        <f>TRUNC(SUMIF(R255:R257, " ", F255:F257),0)</f>
        <v>280</v>
      </c>
      <c r="G258" s="11">
        <v>0</v>
      </c>
      <c r="H258" s="11">
        <f>TRUNC(SUMIF(R255:R257, " ", H255:H257),0)</f>
        <v>9357</v>
      </c>
      <c r="I258" s="11">
        <v>0</v>
      </c>
      <c r="J258" s="8">
        <f>TRUNC(SUMIF(R255:R257, " ", J255:J257),0)</f>
        <v>0</v>
      </c>
      <c r="K258" s="13" t="s">
        <v>646</v>
      </c>
      <c r="L258" s="11">
        <f>F258+H258+J258</f>
        <v>9637</v>
      </c>
      <c r="M258" s="17"/>
      <c r="N258" s="6" t="s">
        <v>293</v>
      </c>
      <c r="O258" s="23" t="s">
        <v>293</v>
      </c>
    </row>
    <row r="259" spans="1:31" ht="30" customHeight="1" x14ac:dyDescent="0.3">
      <c r="A259" s="21" t="s">
        <v>646</v>
      </c>
      <c r="B259" s="21" t="s">
        <v>646</v>
      </c>
      <c r="C259" s="21" t="s">
        <v>646</v>
      </c>
      <c r="D259" s="21" t="s">
        <v>646</v>
      </c>
      <c r="E259" s="21" t="s">
        <v>646</v>
      </c>
      <c r="F259" s="21" t="s">
        <v>646</v>
      </c>
      <c r="G259" s="21" t="s">
        <v>646</v>
      </c>
      <c r="H259" s="21" t="s">
        <v>646</v>
      </c>
      <c r="I259" s="21" t="s">
        <v>646</v>
      </c>
      <c r="J259" s="21" t="s">
        <v>646</v>
      </c>
      <c r="K259" s="21" t="s">
        <v>646</v>
      </c>
      <c r="L259" s="21" t="s">
        <v>646</v>
      </c>
      <c r="M259" s="21" t="s">
        <v>646</v>
      </c>
    </row>
    <row r="260" spans="1:31" ht="30" customHeight="1" x14ac:dyDescent="0.3">
      <c r="A260" s="109" t="s">
        <v>416</v>
      </c>
      <c r="B260" s="110"/>
      <c r="C260" s="110"/>
      <c r="D260" s="110"/>
      <c r="E260" s="110"/>
      <c r="F260" s="110"/>
      <c r="G260" s="110"/>
      <c r="H260" s="110"/>
      <c r="I260" s="110"/>
      <c r="J260" s="110"/>
      <c r="K260" s="110"/>
      <c r="L260" s="110"/>
      <c r="M260" s="111"/>
      <c r="N260" s="1" t="s">
        <v>223</v>
      </c>
    </row>
    <row r="261" spans="1:31" ht="30" customHeight="1" x14ac:dyDescent="0.3">
      <c r="A261" s="21" t="s">
        <v>726</v>
      </c>
      <c r="B261" s="17" t="s">
        <v>671</v>
      </c>
      <c r="C261" s="21" t="s">
        <v>533</v>
      </c>
      <c r="D261" s="24">
        <v>0.22</v>
      </c>
      <c r="E261" s="11">
        <f>단가대비표!U32</f>
        <v>3767</v>
      </c>
      <c r="F261" s="8">
        <f>TRUNC(D261*ROUND(E261,1), 1)</f>
        <v>828.7</v>
      </c>
      <c r="G261" s="11">
        <f>단가대비표!V32</f>
        <v>0</v>
      </c>
      <c r="H261" s="8">
        <f>TRUNC(D261*ROUND(G261,1), 1)</f>
        <v>0</v>
      </c>
      <c r="I261" s="11">
        <f>단가대비표!AE32</f>
        <v>0</v>
      </c>
      <c r="J261" s="8">
        <f>TRUNC(D261*ROUND(I261,1), 1)</f>
        <v>0</v>
      </c>
      <c r="K261" s="8">
        <f t="shared" ref="K261:L264" si="33">E261+G261+I261</f>
        <v>3767</v>
      </c>
      <c r="L261" s="8">
        <f t="shared" si="33"/>
        <v>828.7</v>
      </c>
      <c r="M261" s="17" t="s">
        <v>646</v>
      </c>
      <c r="N261" s="1" t="s">
        <v>223</v>
      </c>
      <c r="O261" s="15" t="s">
        <v>516</v>
      </c>
      <c r="P261" s="15" t="s">
        <v>646</v>
      </c>
      <c r="Q261" s="15" t="s">
        <v>646</v>
      </c>
      <c r="R261" s="15" t="s">
        <v>276</v>
      </c>
      <c r="S261" s="20">
        <v>10</v>
      </c>
      <c r="T261" s="15" t="s">
        <v>646</v>
      </c>
      <c r="U261" s="20">
        <v>0</v>
      </c>
      <c r="V261" s="20">
        <v>0</v>
      </c>
      <c r="W261" s="20">
        <v>0</v>
      </c>
      <c r="X261" s="20">
        <v>0</v>
      </c>
      <c r="Y261" s="20">
        <v>0</v>
      </c>
      <c r="Z261" s="20">
        <v>0</v>
      </c>
      <c r="AA261" s="20">
        <v>0</v>
      </c>
      <c r="AB261" s="20">
        <v>0</v>
      </c>
      <c r="AD261" s="15" t="s">
        <v>646</v>
      </c>
      <c r="AE261" s="14" t="str">
        <f>HYPERLINK("#단가대비표!B32", "▶바로가기")</f>
        <v>▶바로가기</v>
      </c>
    </row>
    <row r="262" spans="1:31" ht="30" customHeight="1" x14ac:dyDescent="0.3">
      <c r="A262" s="21" t="s">
        <v>70</v>
      </c>
      <c r="B262" s="17" t="s">
        <v>234</v>
      </c>
      <c r="C262" s="21" t="s">
        <v>533</v>
      </c>
      <c r="D262" s="24">
        <v>0.05</v>
      </c>
      <c r="E262" s="11">
        <f>단가대비표!U38</f>
        <v>2700</v>
      </c>
      <c r="F262" s="8">
        <f>TRUNC(D262*ROUND(E262,1), 1)</f>
        <v>135</v>
      </c>
      <c r="G262" s="11">
        <f>단가대비표!V38</f>
        <v>0</v>
      </c>
      <c r="H262" s="8">
        <f>TRUNC(D262*ROUND(G262,1), 1)</f>
        <v>0</v>
      </c>
      <c r="I262" s="11">
        <f>단가대비표!AE38</f>
        <v>0</v>
      </c>
      <c r="J262" s="8">
        <f>TRUNC(D262*ROUND(I262,1), 1)</f>
        <v>0</v>
      </c>
      <c r="K262" s="8">
        <f t="shared" si="33"/>
        <v>2700</v>
      </c>
      <c r="L262" s="8">
        <f t="shared" si="33"/>
        <v>135</v>
      </c>
      <c r="M262" s="17" t="s">
        <v>646</v>
      </c>
      <c r="N262" s="1" t="s">
        <v>223</v>
      </c>
      <c r="O262" s="15" t="s">
        <v>575</v>
      </c>
      <c r="P262" s="15" t="s">
        <v>646</v>
      </c>
      <c r="Q262" s="15" t="s">
        <v>646</v>
      </c>
      <c r="R262" s="15" t="s">
        <v>276</v>
      </c>
      <c r="S262" s="20">
        <v>20</v>
      </c>
      <c r="T262" s="15" t="s">
        <v>646</v>
      </c>
      <c r="U262" s="20">
        <v>0</v>
      </c>
      <c r="V262" s="20">
        <v>0</v>
      </c>
      <c r="W262" s="20">
        <v>0</v>
      </c>
      <c r="X262" s="20">
        <v>0</v>
      </c>
      <c r="Y262" s="20">
        <v>0</v>
      </c>
      <c r="Z262" s="20">
        <v>0</v>
      </c>
      <c r="AA262" s="20">
        <v>0</v>
      </c>
      <c r="AB262" s="20">
        <v>0</v>
      </c>
      <c r="AD262" s="15" t="s">
        <v>646</v>
      </c>
      <c r="AE262" s="14" t="str">
        <f>HYPERLINK("#단가대비표!B38", "▶바로가기")</f>
        <v>▶바로가기</v>
      </c>
    </row>
    <row r="263" spans="1:31" ht="30" customHeight="1" x14ac:dyDescent="0.3">
      <c r="A263" s="21" t="s">
        <v>262</v>
      </c>
      <c r="B263" s="17" t="s">
        <v>20</v>
      </c>
      <c r="C263" s="21" t="s">
        <v>107</v>
      </c>
      <c r="D263" s="24">
        <v>0.06</v>
      </c>
      <c r="E263" s="11">
        <f>단가대비표!U31</f>
        <v>3125.8</v>
      </c>
      <c r="F263" s="8">
        <f>TRUNC(D263*ROUND(E263,1), 1)</f>
        <v>187.5</v>
      </c>
      <c r="G263" s="11">
        <f>단가대비표!V31</f>
        <v>0</v>
      </c>
      <c r="H263" s="8">
        <f>TRUNC(D263*ROUND(G263,1), 1)</f>
        <v>0</v>
      </c>
      <c r="I263" s="11">
        <f>단가대비표!AE31</f>
        <v>0</v>
      </c>
      <c r="J263" s="8">
        <f>TRUNC(D263*ROUND(I263,1), 1)</f>
        <v>0</v>
      </c>
      <c r="K263" s="8">
        <f t="shared" si="33"/>
        <v>3125.8</v>
      </c>
      <c r="L263" s="8">
        <f t="shared" si="33"/>
        <v>187.5</v>
      </c>
      <c r="M263" s="17" t="s">
        <v>339</v>
      </c>
      <c r="N263" s="1" t="s">
        <v>223</v>
      </c>
      <c r="O263" s="15" t="s">
        <v>626</v>
      </c>
      <c r="P263" s="15" t="s">
        <v>646</v>
      </c>
      <c r="Q263" s="15" t="s">
        <v>646</v>
      </c>
      <c r="R263" s="15" t="s">
        <v>276</v>
      </c>
      <c r="S263" s="20">
        <v>30</v>
      </c>
      <c r="T263" s="15" t="s">
        <v>646</v>
      </c>
      <c r="U263" s="20">
        <v>0</v>
      </c>
      <c r="V263" s="20">
        <v>0</v>
      </c>
      <c r="W263" s="20">
        <v>0</v>
      </c>
      <c r="X263" s="20">
        <v>0</v>
      </c>
      <c r="Y263" s="20">
        <v>0</v>
      </c>
      <c r="Z263" s="20">
        <v>0</v>
      </c>
      <c r="AA263" s="20">
        <v>0</v>
      </c>
      <c r="AB263" s="20">
        <v>0</v>
      </c>
      <c r="AD263" s="15" t="s">
        <v>646</v>
      </c>
      <c r="AE263" s="14" t="str">
        <f>HYPERLINK("#단가대비표!B31", "▶바로가기")</f>
        <v>▶바로가기</v>
      </c>
    </row>
    <row r="264" spans="1:31" ht="30" customHeight="1" x14ac:dyDescent="0.3">
      <c r="A264" s="21" t="s">
        <v>332</v>
      </c>
      <c r="B264" s="17" t="s">
        <v>413</v>
      </c>
      <c r="C264" s="21" t="s">
        <v>741</v>
      </c>
      <c r="D264" s="24">
        <v>0.5</v>
      </c>
      <c r="E264" s="11">
        <f>단가대비표!U27</f>
        <v>323</v>
      </c>
      <c r="F264" s="8">
        <f>TRUNC(D264*ROUND(E264,1), 1)</f>
        <v>161.5</v>
      </c>
      <c r="G264" s="11">
        <f>단가대비표!V27</f>
        <v>0</v>
      </c>
      <c r="H264" s="8">
        <f>TRUNC(D264*ROUND(G264,1), 1)</f>
        <v>0</v>
      </c>
      <c r="I264" s="11">
        <f>단가대비표!AE27</f>
        <v>0</v>
      </c>
      <c r="J264" s="8">
        <f>TRUNC(D264*ROUND(I264,1), 1)</f>
        <v>0</v>
      </c>
      <c r="K264" s="8">
        <f t="shared" si="33"/>
        <v>323</v>
      </c>
      <c r="L264" s="8">
        <f t="shared" si="33"/>
        <v>161.5</v>
      </c>
      <c r="M264" s="17" t="s">
        <v>646</v>
      </c>
      <c r="N264" s="1" t="s">
        <v>223</v>
      </c>
      <c r="O264" s="15" t="s">
        <v>375</v>
      </c>
      <c r="P264" s="15" t="s">
        <v>646</v>
      </c>
      <c r="Q264" s="15" t="s">
        <v>646</v>
      </c>
      <c r="R264" s="15" t="s">
        <v>276</v>
      </c>
      <c r="S264" s="20">
        <v>40</v>
      </c>
      <c r="T264" s="15" t="s">
        <v>646</v>
      </c>
      <c r="U264" s="20">
        <v>0</v>
      </c>
      <c r="V264" s="20">
        <v>0</v>
      </c>
      <c r="W264" s="20">
        <v>0</v>
      </c>
      <c r="X264" s="20">
        <v>0</v>
      </c>
      <c r="Y264" s="20">
        <v>0</v>
      </c>
      <c r="Z264" s="20">
        <v>0</v>
      </c>
      <c r="AA264" s="20">
        <v>0</v>
      </c>
      <c r="AB264" s="20">
        <v>0</v>
      </c>
      <c r="AD264" s="15" t="s">
        <v>646</v>
      </c>
      <c r="AE264" s="14" t="str">
        <f>HYPERLINK("#단가대비표!B27", "▶바로가기")</f>
        <v>▶바로가기</v>
      </c>
    </row>
    <row r="265" spans="1:31" ht="30" customHeight="1" x14ac:dyDescent="0.3">
      <c r="A265" s="21" t="s">
        <v>515</v>
      </c>
      <c r="B265" s="21" t="s">
        <v>646</v>
      </c>
      <c r="C265" s="21" t="s">
        <v>646</v>
      </c>
      <c r="D265" s="21" t="s">
        <v>646</v>
      </c>
      <c r="E265" s="11">
        <v>0</v>
      </c>
      <c r="F265" s="11">
        <f>TRUNC(SUMIF(R261:R264, " ", F261:F264),0)</f>
        <v>1312</v>
      </c>
      <c r="G265" s="11">
        <v>0</v>
      </c>
      <c r="H265" s="11">
        <f>TRUNC(SUMIF(R261:R264, " ", H261:H264),0)</f>
        <v>0</v>
      </c>
      <c r="I265" s="11">
        <v>0</v>
      </c>
      <c r="J265" s="8">
        <f>TRUNC(SUMIF(R261:R264, " ", J261:J264),0)</f>
        <v>0</v>
      </c>
      <c r="K265" s="13" t="s">
        <v>646</v>
      </c>
      <c r="L265" s="11">
        <f>F265+H265+J265</f>
        <v>1312</v>
      </c>
      <c r="M265" s="17"/>
      <c r="N265" s="6" t="s">
        <v>293</v>
      </c>
      <c r="O265" s="23" t="s">
        <v>293</v>
      </c>
    </row>
    <row r="266" spans="1:31" ht="30" customHeight="1" x14ac:dyDescent="0.3">
      <c r="A266" s="21" t="s">
        <v>646</v>
      </c>
      <c r="B266" s="21" t="s">
        <v>646</v>
      </c>
      <c r="C266" s="21" t="s">
        <v>646</v>
      </c>
      <c r="D266" s="21" t="s">
        <v>646</v>
      </c>
      <c r="E266" s="21" t="s">
        <v>646</v>
      </c>
      <c r="F266" s="21" t="s">
        <v>646</v>
      </c>
      <c r="G266" s="21" t="s">
        <v>646</v>
      </c>
      <c r="H266" s="21" t="s">
        <v>646</v>
      </c>
      <c r="I266" s="21" t="s">
        <v>646</v>
      </c>
      <c r="J266" s="21" t="s">
        <v>646</v>
      </c>
      <c r="K266" s="21" t="s">
        <v>646</v>
      </c>
      <c r="L266" s="21" t="s">
        <v>646</v>
      </c>
      <c r="M266" s="21" t="s">
        <v>646</v>
      </c>
    </row>
    <row r="267" spans="1:31" ht="30" customHeight="1" x14ac:dyDescent="0.3">
      <c r="A267" s="109" t="s">
        <v>647</v>
      </c>
      <c r="B267" s="110"/>
      <c r="C267" s="110"/>
      <c r="D267" s="110"/>
      <c r="E267" s="110"/>
      <c r="F267" s="110"/>
      <c r="G267" s="110"/>
      <c r="H267" s="110"/>
      <c r="I267" s="110"/>
      <c r="J267" s="110"/>
      <c r="K267" s="110"/>
      <c r="L267" s="110"/>
      <c r="M267" s="111"/>
      <c r="N267" s="1" t="s">
        <v>288</v>
      </c>
    </row>
    <row r="268" spans="1:31" ht="30" customHeight="1" x14ac:dyDescent="0.3">
      <c r="A268" s="21" t="s">
        <v>609</v>
      </c>
      <c r="B268" s="17" t="s">
        <v>489</v>
      </c>
      <c r="C268" s="21" t="s">
        <v>717</v>
      </c>
      <c r="D268" s="24">
        <v>6.7000000000000004E-2</v>
      </c>
      <c r="E268" s="11">
        <f>단가대비표!U59</f>
        <v>0</v>
      </c>
      <c r="F268" s="8">
        <f>TRUNC(D268*ROUND(E268,1), 1)</f>
        <v>0</v>
      </c>
      <c r="G268" s="11">
        <f>단가대비표!V59</f>
        <v>263017</v>
      </c>
      <c r="H268" s="8">
        <f>TRUNC(D268*ROUND(G268,1), 1)</f>
        <v>17622.099999999999</v>
      </c>
      <c r="I268" s="11">
        <f>단가대비표!AE59</f>
        <v>0</v>
      </c>
      <c r="J268" s="8">
        <f>TRUNC(D268*ROUND(I268,1), 1)</f>
        <v>0</v>
      </c>
      <c r="K268" s="8">
        <f t="shared" ref="K268:L270" si="34">E268+G268+I268</f>
        <v>263017</v>
      </c>
      <c r="L268" s="8">
        <f t="shared" si="34"/>
        <v>17622.099999999999</v>
      </c>
      <c r="M268" s="17"/>
      <c r="N268" s="1" t="s">
        <v>288</v>
      </c>
      <c r="O268" s="15" t="s">
        <v>396</v>
      </c>
      <c r="P268" s="15" t="s">
        <v>646</v>
      </c>
      <c r="Q268" s="15" t="s">
        <v>646</v>
      </c>
      <c r="R268" s="15" t="s">
        <v>276</v>
      </c>
      <c r="S268" s="20">
        <v>10</v>
      </c>
      <c r="T268" s="15" t="s">
        <v>646</v>
      </c>
      <c r="U268" s="20">
        <v>0</v>
      </c>
      <c r="V268" s="20">
        <v>1</v>
      </c>
      <c r="W268" s="20">
        <v>0</v>
      </c>
      <c r="X268" s="20">
        <v>0</v>
      </c>
      <c r="Y268" s="20">
        <v>0</v>
      </c>
      <c r="Z268" s="20">
        <v>0</v>
      </c>
      <c r="AA268" s="20">
        <v>0</v>
      </c>
      <c r="AB268" s="20">
        <v>0</v>
      </c>
      <c r="AD268" s="15" t="s">
        <v>646</v>
      </c>
      <c r="AE268" s="14" t="str">
        <f>HYPERLINK("#단가대비표!B59", "▶바로가기")</f>
        <v>▶바로가기</v>
      </c>
    </row>
    <row r="269" spans="1:31" ht="30" customHeight="1" x14ac:dyDescent="0.3">
      <c r="A269" s="21" t="s">
        <v>567</v>
      </c>
      <c r="B269" s="17" t="s">
        <v>489</v>
      </c>
      <c r="C269" s="21" t="s">
        <v>717</v>
      </c>
      <c r="D269" s="24">
        <v>1.0999999999999999E-2</v>
      </c>
      <c r="E269" s="11">
        <f>단가대비표!U53</f>
        <v>0</v>
      </c>
      <c r="F269" s="8">
        <f>TRUNC(D269*ROUND(E269,1), 1)</f>
        <v>0</v>
      </c>
      <c r="G269" s="11">
        <f>단가대비표!V53</f>
        <v>172068</v>
      </c>
      <c r="H269" s="8">
        <f>TRUNC(D269*ROUND(G269,1), 1)</f>
        <v>1892.7</v>
      </c>
      <c r="I269" s="11">
        <f>단가대비표!AE53</f>
        <v>0</v>
      </c>
      <c r="J269" s="8">
        <f>TRUNC(D269*ROUND(I269,1), 1)</f>
        <v>0</v>
      </c>
      <c r="K269" s="8">
        <f t="shared" si="34"/>
        <v>172068</v>
      </c>
      <c r="L269" s="8">
        <f t="shared" si="34"/>
        <v>1892.7</v>
      </c>
      <c r="M269" s="17"/>
      <c r="N269" s="1" t="s">
        <v>288</v>
      </c>
      <c r="O269" s="15" t="s">
        <v>589</v>
      </c>
      <c r="P269" s="15" t="s">
        <v>646</v>
      </c>
      <c r="Q269" s="15" t="s">
        <v>646</v>
      </c>
      <c r="R269" s="15" t="s">
        <v>276</v>
      </c>
      <c r="S269" s="20">
        <v>20</v>
      </c>
      <c r="T269" s="15" t="s">
        <v>646</v>
      </c>
      <c r="U269" s="20">
        <v>0</v>
      </c>
      <c r="V269" s="20">
        <v>1</v>
      </c>
      <c r="W269" s="20">
        <v>0</v>
      </c>
      <c r="X269" s="20">
        <v>0</v>
      </c>
      <c r="Y269" s="20">
        <v>0</v>
      </c>
      <c r="Z269" s="20">
        <v>0</v>
      </c>
      <c r="AA269" s="20">
        <v>0</v>
      </c>
      <c r="AB269" s="20">
        <v>0</v>
      </c>
      <c r="AD269" s="15" t="s">
        <v>646</v>
      </c>
      <c r="AE269" s="14" t="str">
        <f>HYPERLINK("#단가대비표!B53", "▶바로가기")</f>
        <v>▶바로가기</v>
      </c>
    </row>
    <row r="270" spans="1:31" ht="30" customHeight="1" x14ac:dyDescent="0.3">
      <c r="A270" s="21" t="s">
        <v>233</v>
      </c>
      <c r="B270" s="17" t="s">
        <v>5</v>
      </c>
      <c r="C270" s="21" t="s">
        <v>738</v>
      </c>
      <c r="D270" s="24">
        <v>1</v>
      </c>
      <c r="E270" s="8">
        <f>TRUNC(SUMIF(V268:V270, RIGHTB(O270, 1), H268:H270)*U270, 1)</f>
        <v>390.2</v>
      </c>
      <c r="F270" s="8">
        <f>TRUNC(D270*E270,1)</f>
        <v>390.2</v>
      </c>
      <c r="G270" s="8">
        <v>0</v>
      </c>
      <c r="H270" s="8">
        <f>TRUNC(D270*G270,1)</f>
        <v>0</v>
      </c>
      <c r="I270" s="8">
        <v>0</v>
      </c>
      <c r="J270" s="8">
        <f>TRUNC(D270*I270,1)</f>
        <v>0</v>
      </c>
      <c r="K270" s="8">
        <f t="shared" si="34"/>
        <v>390.2</v>
      </c>
      <c r="L270" s="8">
        <f t="shared" si="34"/>
        <v>390.2</v>
      </c>
      <c r="M270" s="17"/>
      <c r="N270" s="1" t="s">
        <v>288</v>
      </c>
      <c r="O270" s="15" t="s">
        <v>456</v>
      </c>
      <c r="P270" s="15" t="s">
        <v>646</v>
      </c>
      <c r="Q270" s="15" t="s">
        <v>646</v>
      </c>
      <c r="R270" s="15" t="s">
        <v>276</v>
      </c>
      <c r="S270" s="20">
        <v>30</v>
      </c>
      <c r="T270" s="15" t="s">
        <v>573</v>
      </c>
      <c r="U270" s="20">
        <v>0.02</v>
      </c>
      <c r="V270" s="20">
        <v>0</v>
      </c>
      <c r="W270" s="20">
        <v>0</v>
      </c>
      <c r="X270" s="20">
        <v>0</v>
      </c>
      <c r="Y270" s="20">
        <v>0</v>
      </c>
      <c r="Z270" s="20">
        <v>0</v>
      </c>
      <c r="AA270" s="20">
        <v>0</v>
      </c>
      <c r="AB270" s="20">
        <v>0</v>
      </c>
      <c r="AD270" s="15" t="s">
        <v>646</v>
      </c>
      <c r="AE270" s="15" t="s">
        <v>646</v>
      </c>
    </row>
    <row r="271" spans="1:31" ht="30" customHeight="1" x14ac:dyDescent="0.3">
      <c r="A271" s="21" t="s">
        <v>515</v>
      </c>
      <c r="B271" s="21" t="s">
        <v>646</v>
      </c>
      <c r="C271" s="21" t="s">
        <v>646</v>
      </c>
      <c r="D271" s="21" t="s">
        <v>646</v>
      </c>
      <c r="E271" s="11">
        <v>0</v>
      </c>
      <c r="F271" s="11">
        <f>TRUNC(SUMIF(R268:R270, " ", F268:F270),0)</f>
        <v>390</v>
      </c>
      <c r="G271" s="11">
        <v>0</v>
      </c>
      <c r="H271" s="11">
        <f>TRUNC(SUMIF(R268:R270, " ", H268:H270),0)</f>
        <v>19514</v>
      </c>
      <c r="I271" s="11">
        <v>0</v>
      </c>
      <c r="J271" s="8">
        <f>TRUNC(SUMIF(R268:R270, " ", J268:J270),0)</f>
        <v>0</v>
      </c>
      <c r="K271" s="13" t="s">
        <v>646</v>
      </c>
      <c r="L271" s="11">
        <f>F271+H271+J271</f>
        <v>19904</v>
      </c>
      <c r="M271" s="17"/>
      <c r="N271" s="6" t="s">
        <v>293</v>
      </c>
      <c r="O271" s="23" t="s">
        <v>293</v>
      </c>
    </row>
    <row r="272" spans="1:31" ht="30" customHeight="1" x14ac:dyDescent="0.3">
      <c r="A272" s="21" t="s">
        <v>646</v>
      </c>
      <c r="B272" s="21" t="s">
        <v>646</v>
      </c>
      <c r="C272" s="21" t="s">
        <v>646</v>
      </c>
      <c r="D272" s="21" t="s">
        <v>646</v>
      </c>
      <c r="E272" s="21" t="s">
        <v>646</v>
      </c>
      <c r="F272" s="21" t="s">
        <v>646</v>
      </c>
      <c r="G272" s="21" t="s">
        <v>646</v>
      </c>
      <c r="H272" s="21" t="s">
        <v>646</v>
      </c>
      <c r="I272" s="21" t="s">
        <v>646</v>
      </c>
      <c r="J272" s="21" t="s">
        <v>646</v>
      </c>
      <c r="K272" s="21" t="s">
        <v>646</v>
      </c>
      <c r="L272" s="21" t="s">
        <v>646</v>
      </c>
      <c r="M272" s="21" t="s">
        <v>646</v>
      </c>
    </row>
    <row r="273" spans="1:31" ht="30" customHeight="1" x14ac:dyDescent="0.3">
      <c r="A273" s="109" t="s">
        <v>523</v>
      </c>
      <c r="B273" s="110"/>
      <c r="C273" s="110"/>
      <c r="D273" s="110"/>
      <c r="E273" s="110"/>
      <c r="F273" s="110"/>
      <c r="G273" s="110"/>
      <c r="H273" s="110"/>
      <c r="I273" s="110"/>
      <c r="J273" s="110"/>
      <c r="K273" s="110"/>
      <c r="L273" s="110"/>
      <c r="M273" s="111"/>
      <c r="N273" s="1" t="s">
        <v>557</v>
      </c>
    </row>
    <row r="274" spans="1:31" ht="30" customHeight="1" x14ac:dyDescent="0.3">
      <c r="A274" s="21" t="s">
        <v>249</v>
      </c>
      <c r="B274" s="17" t="s">
        <v>224</v>
      </c>
      <c r="C274" s="21" t="s">
        <v>533</v>
      </c>
      <c r="D274" s="24">
        <v>0.29849999999999999</v>
      </c>
      <c r="E274" s="11">
        <f>단가대비표!U33</f>
        <v>0</v>
      </c>
      <c r="F274" s="8">
        <f>TRUNC(D274*ROUND(E274,1), 1)</f>
        <v>0</v>
      </c>
      <c r="G274" s="11">
        <f>단가대비표!V33</f>
        <v>0</v>
      </c>
      <c r="H274" s="8">
        <f>TRUNC(D274*ROUND(G274,1), 1)</f>
        <v>0</v>
      </c>
      <c r="I274" s="11">
        <f>단가대비표!AE33</f>
        <v>0</v>
      </c>
      <c r="J274" s="8">
        <f>TRUNC(D274*ROUND(I274,1), 1)</f>
        <v>0</v>
      </c>
      <c r="K274" s="8">
        <f t="shared" ref="K274:L278" si="35">E274+G274+I274</f>
        <v>0</v>
      </c>
      <c r="L274" s="8">
        <f t="shared" si="35"/>
        <v>0</v>
      </c>
      <c r="M274" s="17" t="s">
        <v>646</v>
      </c>
      <c r="N274" s="1" t="s">
        <v>557</v>
      </c>
      <c r="O274" s="15" t="s">
        <v>209</v>
      </c>
      <c r="P274" s="15" t="s">
        <v>646</v>
      </c>
      <c r="Q274" s="15" t="s">
        <v>646</v>
      </c>
      <c r="R274" s="15" t="s">
        <v>276</v>
      </c>
      <c r="S274" s="20">
        <v>10</v>
      </c>
      <c r="T274" s="15" t="s">
        <v>417</v>
      </c>
      <c r="U274" s="20">
        <v>0</v>
      </c>
      <c r="V274" s="20">
        <v>0</v>
      </c>
      <c r="W274" s="20">
        <v>0</v>
      </c>
      <c r="X274" s="20">
        <v>0</v>
      </c>
      <c r="Y274" s="20">
        <v>0</v>
      </c>
      <c r="Z274" s="20">
        <v>0</v>
      </c>
      <c r="AA274" s="20">
        <v>0</v>
      </c>
      <c r="AB274" s="20">
        <v>0</v>
      </c>
      <c r="AD274" s="15" t="s">
        <v>646</v>
      </c>
      <c r="AE274" s="14" t="str">
        <f>HYPERLINK("#단가대비표!B33", "▶바로가기")</f>
        <v>▶바로가기</v>
      </c>
    </row>
    <row r="275" spans="1:31" ht="30" customHeight="1" x14ac:dyDescent="0.3">
      <c r="A275" s="21" t="s">
        <v>70</v>
      </c>
      <c r="B275" s="17" t="s">
        <v>502</v>
      </c>
      <c r="C275" s="21" t="s">
        <v>533</v>
      </c>
      <c r="D275" s="24">
        <v>7.4999999999999997E-2</v>
      </c>
      <c r="E275" s="11">
        <f>단가대비표!U39</f>
        <v>2700</v>
      </c>
      <c r="F275" s="8">
        <f>TRUNC(D275*ROUND(E275,1), 1)</f>
        <v>202.5</v>
      </c>
      <c r="G275" s="11">
        <f>단가대비표!V39</f>
        <v>0</v>
      </c>
      <c r="H275" s="8">
        <f>TRUNC(D275*ROUND(G275,1), 1)</f>
        <v>0</v>
      </c>
      <c r="I275" s="11">
        <f>단가대비표!AE39</f>
        <v>0</v>
      </c>
      <c r="J275" s="8">
        <f>TRUNC(D275*ROUND(I275,1), 1)</f>
        <v>0</v>
      </c>
      <c r="K275" s="8">
        <f t="shared" si="35"/>
        <v>2700</v>
      </c>
      <c r="L275" s="8">
        <f t="shared" si="35"/>
        <v>202.5</v>
      </c>
      <c r="M275" s="17" t="s">
        <v>646</v>
      </c>
      <c r="N275" s="1" t="s">
        <v>557</v>
      </c>
      <c r="O275" s="15" t="s">
        <v>721</v>
      </c>
      <c r="P275" s="15" t="s">
        <v>646</v>
      </c>
      <c r="Q275" s="15" t="s">
        <v>646</v>
      </c>
      <c r="R275" s="15" t="s">
        <v>276</v>
      </c>
      <c r="S275" s="20">
        <v>20</v>
      </c>
      <c r="T275" s="15" t="s">
        <v>381</v>
      </c>
      <c r="U275" s="20">
        <v>0</v>
      </c>
      <c r="V275" s="20">
        <v>0</v>
      </c>
      <c r="W275" s="20">
        <v>0</v>
      </c>
      <c r="X275" s="20">
        <v>0</v>
      </c>
      <c r="Y275" s="20">
        <v>0</v>
      </c>
      <c r="Z275" s="20">
        <v>0</v>
      </c>
      <c r="AA275" s="20">
        <v>0</v>
      </c>
      <c r="AB275" s="20">
        <v>0</v>
      </c>
      <c r="AD275" s="15" t="s">
        <v>646</v>
      </c>
      <c r="AE275" s="14" t="str">
        <f>HYPERLINK("#단가대비표!B39", "▶바로가기")</f>
        <v>▶바로가기</v>
      </c>
    </row>
    <row r="276" spans="1:31" ht="30" customHeight="1" x14ac:dyDescent="0.3">
      <c r="A276" s="21" t="s">
        <v>262</v>
      </c>
      <c r="B276" s="17" t="s">
        <v>306</v>
      </c>
      <c r="C276" s="21" t="s">
        <v>107</v>
      </c>
      <c r="D276" s="24">
        <v>0.06</v>
      </c>
      <c r="E276" s="11">
        <f>단가대비표!U30</f>
        <v>2306.5</v>
      </c>
      <c r="F276" s="8">
        <f>TRUNC(D276*ROUND(E276,1), 1)</f>
        <v>138.30000000000001</v>
      </c>
      <c r="G276" s="11">
        <f>단가대비표!V30</f>
        <v>0</v>
      </c>
      <c r="H276" s="8">
        <f>TRUNC(D276*ROUND(G276,1), 1)</f>
        <v>0</v>
      </c>
      <c r="I276" s="11">
        <f>단가대비표!AE30</f>
        <v>0</v>
      </c>
      <c r="J276" s="8">
        <f>TRUNC(D276*ROUND(I276,1), 1)</f>
        <v>0</v>
      </c>
      <c r="K276" s="8">
        <f t="shared" si="35"/>
        <v>2306.5</v>
      </c>
      <c r="L276" s="8">
        <f t="shared" si="35"/>
        <v>138.30000000000001</v>
      </c>
      <c r="M276" s="17" t="s">
        <v>339</v>
      </c>
      <c r="N276" s="1" t="s">
        <v>557</v>
      </c>
      <c r="O276" s="15" t="s">
        <v>439</v>
      </c>
      <c r="P276" s="15" t="s">
        <v>646</v>
      </c>
      <c r="Q276" s="15" t="s">
        <v>646</v>
      </c>
      <c r="R276" s="15" t="s">
        <v>276</v>
      </c>
      <c r="S276" s="20">
        <v>30</v>
      </c>
      <c r="T276" s="15" t="s">
        <v>646</v>
      </c>
      <c r="U276" s="20">
        <v>0</v>
      </c>
      <c r="V276" s="20">
        <v>0</v>
      </c>
      <c r="W276" s="20">
        <v>0</v>
      </c>
      <c r="X276" s="20">
        <v>0</v>
      </c>
      <c r="Y276" s="20">
        <v>0</v>
      </c>
      <c r="Z276" s="20">
        <v>0</v>
      </c>
      <c r="AA276" s="20">
        <v>0</v>
      </c>
      <c r="AB276" s="20">
        <v>0</v>
      </c>
      <c r="AD276" s="15" t="s">
        <v>646</v>
      </c>
      <c r="AE276" s="14" t="str">
        <f>HYPERLINK("#단가대비표!B30", "▶바로가기")</f>
        <v>▶바로가기</v>
      </c>
    </row>
    <row r="277" spans="1:31" ht="30" customHeight="1" x14ac:dyDescent="0.3">
      <c r="A277" s="21" t="s">
        <v>332</v>
      </c>
      <c r="B277" s="17" t="s">
        <v>413</v>
      </c>
      <c r="C277" s="21" t="s">
        <v>741</v>
      </c>
      <c r="D277" s="24">
        <v>0.5</v>
      </c>
      <c r="E277" s="11">
        <f>단가대비표!U27</f>
        <v>323</v>
      </c>
      <c r="F277" s="8">
        <f>TRUNC(D277*ROUND(E277,1), 1)</f>
        <v>161.5</v>
      </c>
      <c r="G277" s="11">
        <f>단가대비표!V27</f>
        <v>0</v>
      </c>
      <c r="H277" s="8">
        <f>TRUNC(D277*ROUND(G277,1), 1)</f>
        <v>0</v>
      </c>
      <c r="I277" s="11">
        <f>단가대비표!AE27</f>
        <v>0</v>
      </c>
      <c r="J277" s="8">
        <f>TRUNC(D277*ROUND(I277,1), 1)</f>
        <v>0</v>
      </c>
      <c r="K277" s="8">
        <f t="shared" si="35"/>
        <v>323</v>
      </c>
      <c r="L277" s="8">
        <f t="shared" si="35"/>
        <v>161.5</v>
      </c>
      <c r="M277" s="17" t="s">
        <v>646</v>
      </c>
      <c r="N277" s="1" t="s">
        <v>557</v>
      </c>
      <c r="O277" s="15" t="s">
        <v>375</v>
      </c>
      <c r="P277" s="15" t="s">
        <v>646</v>
      </c>
      <c r="Q277" s="15" t="s">
        <v>646</v>
      </c>
      <c r="R277" s="15" t="s">
        <v>276</v>
      </c>
      <c r="S277" s="20">
        <v>40</v>
      </c>
      <c r="T277" s="15" t="s">
        <v>646</v>
      </c>
      <c r="U277" s="20">
        <v>0</v>
      </c>
      <c r="V277" s="20">
        <v>0</v>
      </c>
      <c r="W277" s="20">
        <v>0</v>
      </c>
      <c r="X277" s="20">
        <v>0</v>
      </c>
      <c r="Y277" s="20">
        <v>0</v>
      </c>
      <c r="Z277" s="20">
        <v>0</v>
      </c>
      <c r="AA277" s="20">
        <v>0</v>
      </c>
      <c r="AB277" s="20">
        <v>0</v>
      </c>
      <c r="AD277" s="15" t="s">
        <v>646</v>
      </c>
      <c r="AE277" s="14" t="str">
        <f>HYPERLINK("#단가대비표!B27", "▶바로가기")</f>
        <v>▶바로가기</v>
      </c>
    </row>
    <row r="278" spans="1:31" ht="30" customHeight="1" x14ac:dyDescent="0.3">
      <c r="A278" s="21" t="s">
        <v>677</v>
      </c>
      <c r="B278" s="17" t="s">
        <v>197</v>
      </c>
      <c r="C278" s="21" t="s">
        <v>107</v>
      </c>
      <c r="D278" s="24">
        <v>0.01</v>
      </c>
      <c r="E278" s="11">
        <f>단가대비표!U41</f>
        <v>2000</v>
      </c>
      <c r="F278" s="8">
        <f>TRUNC(D278*ROUND(E278,1), 1)</f>
        <v>20</v>
      </c>
      <c r="G278" s="11">
        <f>단가대비표!V41</f>
        <v>0</v>
      </c>
      <c r="H278" s="8">
        <f>TRUNC(D278*ROUND(G278,1), 1)</f>
        <v>0</v>
      </c>
      <c r="I278" s="11">
        <f>단가대비표!AE41</f>
        <v>0</v>
      </c>
      <c r="J278" s="8">
        <f>TRUNC(D278*ROUND(I278,1), 1)</f>
        <v>0</v>
      </c>
      <c r="K278" s="8">
        <f t="shared" si="35"/>
        <v>2000</v>
      </c>
      <c r="L278" s="8">
        <f t="shared" si="35"/>
        <v>20</v>
      </c>
      <c r="M278" s="17" t="s">
        <v>646</v>
      </c>
      <c r="N278" s="1" t="s">
        <v>557</v>
      </c>
      <c r="O278" s="15" t="s">
        <v>632</v>
      </c>
      <c r="P278" s="15" t="s">
        <v>646</v>
      </c>
      <c r="Q278" s="15" t="s">
        <v>646</v>
      </c>
      <c r="R278" s="15" t="s">
        <v>276</v>
      </c>
      <c r="S278" s="20">
        <v>50</v>
      </c>
      <c r="T278" s="15" t="s">
        <v>88</v>
      </c>
      <c r="U278" s="20">
        <v>0</v>
      </c>
      <c r="V278" s="20">
        <v>0</v>
      </c>
      <c r="W278" s="20">
        <v>0</v>
      </c>
      <c r="X278" s="20">
        <v>0</v>
      </c>
      <c r="Y278" s="20">
        <v>0</v>
      </c>
      <c r="Z278" s="20">
        <v>0</v>
      </c>
      <c r="AA278" s="20">
        <v>0</v>
      </c>
      <c r="AB278" s="20">
        <v>0</v>
      </c>
      <c r="AD278" s="15" t="s">
        <v>646</v>
      </c>
      <c r="AE278" s="14" t="str">
        <f>HYPERLINK("#단가대비표!B41", "▶바로가기")</f>
        <v>▶바로가기</v>
      </c>
    </row>
    <row r="279" spans="1:31" ht="30" customHeight="1" x14ac:dyDescent="0.3">
      <c r="A279" s="21" t="s">
        <v>515</v>
      </c>
      <c r="B279" s="21" t="s">
        <v>646</v>
      </c>
      <c r="C279" s="21" t="s">
        <v>646</v>
      </c>
      <c r="D279" s="21" t="s">
        <v>646</v>
      </c>
      <c r="E279" s="11">
        <v>0</v>
      </c>
      <c r="F279" s="11">
        <f>TRUNC(SUMIF(R274:R278, " ", F274:F278),0)</f>
        <v>522</v>
      </c>
      <c r="G279" s="11">
        <v>0</v>
      </c>
      <c r="H279" s="11">
        <f>TRUNC(SUMIF(R274:R278, " ", H274:H278),0)</f>
        <v>0</v>
      </c>
      <c r="I279" s="11">
        <v>0</v>
      </c>
      <c r="J279" s="8">
        <f>TRUNC(SUMIF(R274:R278, " ", J274:J278),0)</f>
        <v>0</v>
      </c>
      <c r="K279" s="13" t="s">
        <v>646</v>
      </c>
      <c r="L279" s="11">
        <f>F279+H279+J279</f>
        <v>522</v>
      </c>
      <c r="M279" s="17"/>
      <c r="N279" s="6" t="s">
        <v>293</v>
      </c>
      <c r="O279" s="23" t="s">
        <v>293</v>
      </c>
    </row>
    <row r="280" spans="1:31" ht="30" customHeight="1" x14ac:dyDescent="0.3">
      <c r="A280" s="21" t="s">
        <v>646</v>
      </c>
      <c r="B280" s="21" t="s">
        <v>646</v>
      </c>
      <c r="C280" s="21" t="s">
        <v>646</v>
      </c>
      <c r="D280" s="21" t="s">
        <v>646</v>
      </c>
      <c r="E280" s="21" t="s">
        <v>646</v>
      </c>
      <c r="F280" s="21" t="s">
        <v>646</v>
      </c>
      <c r="G280" s="21" t="s">
        <v>646</v>
      </c>
      <c r="H280" s="21" t="s">
        <v>646</v>
      </c>
      <c r="I280" s="21" t="s">
        <v>646</v>
      </c>
      <c r="J280" s="21" t="s">
        <v>646</v>
      </c>
      <c r="K280" s="21" t="s">
        <v>646</v>
      </c>
      <c r="L280" s="21" t="s">
        <v>646</v>
      </c>
      <c r="M280" s="21" t="s">
        <v>646</v>
      </c>
    </row>
    <row r="281" spans="1:31" ht="30" customHeight="1" x14ac:dyDescent="0.3">
      <c r="A281" s="109" t="s">
        <v>748</v>
      </c>
      <c r="B281" s="110"/>
      <c r="C281" s="110"/>
      <c r="D281" s="110"/>
      <c r="E281" s="110"/>
      <c r="F281" s="110"/>
      <c r="G281" s="110"/>
      <c r="H281" s="110"/>
      <c r="I281" s="110"/>
      <c r="J281" s="110"/>
      <c r="K281" s="110"/>
      <c r="L281" s="110"/>
      <c r="M281" s="111"/>
      <c r="N281" s="1" t="s">
        <v>64</v>
      </c>
    </row>
    <row r="282" spans="1:31" ht="30" customHeight="1" x14ac:dyDescent="0.3">
      <c r="A282" s="21" t="s">
        <v>279</v>
      </c>
      <c r="B282" s="17" t="s">
        <v>720</v>
      </c>
      <c r="C282" s="21" t="s">
        <v>533</v>
      </c>
      <c r="D282" s="24">
        <v>0.44</v>
      </c>
      <c r="E282" s="11">
        <f>단가대비표!U36</f>
        <v>10000</v>
      </c>
      <c r="F282" s="8">
        <f>TRUNC(D282*ROUND(E282,1), 1)</f>
        <v>4400</v>
      </c>
      <c r="G282" s="11">
        <f>단가대비표!V36</f>
        <v>0</v>
      </c>
      <c r="H282" s="8">
        <f>TRUNC(D282*ROUND(G282,1), 1)</f>
        <v>0</v>
      </c>
      <c r="I282" s="11">
        <f>단가대비표!AE36</f>
        <v>0</v>
      </c>
      <c r="J282" s="8">
        <f>TRUNC(D282*ROUND(I282,1), 1)</f>
        <v>0</v>
      </c>
      <c r="K282" s="8">
        <f t="shared" ref="K282:L286" si="36">E282+G282+I282</f>
        <v>10000</v>
      </c>
      <c r="L282" s="8">
        <f t="shared" si="36"/>
        <v>4400</v>
      </c>
      <c r="M282" s="17" t="s">
        <v>513</v>
      </c>
      <c r="N282" s="1" t="s">
        <v>64</v>
      </c>
      <c r="O282" s="15" t="s">
        <v>261</v>
      </c>
      <c r="P282" s="15" t="s">
        <v>646</v>
      </c>
      <c r="Q282" s="15" t="s">
        <v>646</v>
      </c>
      <c r="R282" s="15" t="s">
        <v>276</v>
      </c>
      <c r="S282" s="20">
        <v>10</v>
      </c>
      <c r="T282" s="15" t="s">
        <v>175</v>
      </c>
      <c r="U282" s="20">
        <v>0</v>
      </c>
      <c r="V282" s="20">
        <v>0</v>
      </c>
      <c r="W282" s="20">
        <v>0</v>
      </c>
      <c r="X282" s="20">
        <v>0</v>
      </c>
      <c r="Y282" s="20">
        <v>0</v>
      </c>
      <c r="Z282" s="20">
        <v>0</v>
      </c>
      <c r="AA282" s="20">
        <v>0</v>
      </c>
      <c r="AB282" s="20">
        <v>0</v>
      </c>
      <c r="AD282" s="15" t="s">
        <v>646</v>
      </c>
      <c r="AE282" s="14" t="str">
        <f>HYPERLINK("#단가대비표!B36", "▶바로가기")</f>
        <v>▶바로가기</v>
      </c>
    </row>
    <row r="283" spans="1:31" ht="30" customHeight="1" x14ac:dyDescent="0.3">
      <c r="A283" s="21" t="s">
        <v>279</v>
      </c>
      <c r="B283" s="17" t="s">
        <v>486</v>
      </c>
      <c r="C283" s="21" t="s">
        <v>533</v>
      </c>
      <c r="D283" s="24">
        <v>0.22600000000000001</v>
      </c>
      <c r="E283" s="11">
        <f>단가대비표!U37</f>
        <v>7777.8</v>
      </c>
      <c r="F283" s="8">
        <f>TRUNC(D283*ROUND(E283,1), 1)</f>
        <v>1757.7</v>
      </c>
      <c r="G283" s="11">
        <f>단가대비표!V37</f>
        <v>0</v>
      </c>
      <c r="H283" s="8">
        <f>TRUNC(D283*ROUND(G283,1), 1)</f>
        <v>0</v>
      </c>
      <c r="I283" s="11">
        <f>단가대비표!AE37</f>
        <v>0</v>
      </c>
      <c r="J283" s="8">
        <f>TRUNC(D283*ROUND(I283,1), 1)</f>
        <v>0</v>
      </c>
      <c r="K283" s="8">
        <f t="shared" si="36"/>
        <v>7777.8</v>
      </c>
      <c r="L283" s="8">
        <f t="shared" si="36"/>
        <v>1757.7</v>
      </c>
      <c r="M283" s="17" t="s">
        <v>513</v>
      </c>
      <c r="N283" s="1" t="s">
        <v>64</v>
      </c>
      <c r="O283" s="15" t="s">
        <v>292</v>
      </c>
      <c r="P283" s="15" t="s">
        <v>646</v>
      </c>
      <c r="Q283" s="15" t="s">
        <v>646</v>
      </c>
      <c r="R283" s="15" t="s">
        <v>276</v>
      </c>
      <c r="S283" s="20">
        <v>20</v>
      </c>
      <c r="T283" s="15" t="s">
        <v>374</v>
      </c>
      <c r="U283" s="20">
        <v>0</v>
      </c>
      <c r="V283" s="20">
        <v>0</v>
      </c>
      <c r="W283" s="20">
        <v>0</v>
      </c>
      <c r="X283" s="20">
        <v>0</v>
      </c>
      <c r="Y283" s="20">
        <v>0</v>
      </c>
      <c r="Z283" s="20">
        <v>0</v>
      </c>
      <c r="AA283" s="20">
        <v>0</v>
      </c>
      <c r="AB283" s="20">
        <v>0</v>
      </c>
      <c r="AD283" s="15" t="s">
        <v>646</v>
      </c>
      <c r="AE283" s="14" t="str">
        <f>HYPERLINK("#단가대비표!B37", "▶바로가기")</f>
        <v>▶바로가기</v>
      </c>
    </row>
    <row r="284" spans="1:31" ht="30" customHeight="1" x14ac:dyDescent="0.3">
      <c r="A284" s="21" t="s">
        <v>70</v>
      </c>
      <c r="B284" s="17" t="s">
        <v>234</v>
      </c>
      <c r="C284" s="21" t="s">
        <v>533</v>
      </c>
      <c r="D284" s="24">
        <v>6.8000000000000005E-2</v>
      </c>
      <c r="E284" s="11">
        <f>단가대비표!U38</f>
        <v>2700</v>
      </c>
      <c r="F284" s="8">
        <f>TRUNC(D284*ROUND(E284,1), 1)</f>
        <v>183.6</v>
      </c>
      <c r="G284" s="11">
        <f>단가대비표!V38</f>
        <v>0</v>
      </c>
      <c r="H284" s="8">
        <f>TRUNC(D284*ROUND(G284,1), 1)</f>
        <v>0</v>
      </c>
      <c r="I284" s="11">
        <f>단가대비표!AE38</f>
        <v>0</v>
      </c>
      <c r="J284" s="8">
        <f>TRUNC(D284*ROUND(I284,1), 1)</f>
        <v>0</v>
      </c>
      <c r="K284" s="8">
        <f t="shared" si="36"/>
        <v>2700</v>
      </c>
      <c r="L284" s="8">
        <f t="shared" si="36"/>
        <v>183.6</v>
      </c>
      <c r="M284" s="17" t="s">
        <v>646</v>
      </c>
      <c r="N284" s="1" t="s">
        <v>64</v>
      </c>
      <c r="O284" s="15" t="s">
        <v>575</v>
      </c>
      <c r="P284" s="15" t="s">
        <v>646</v>
      </c>
      <c r="Q284" s="15" t="s">
        <v>646</v>
      </c>
      <c r="R284" s="15" t="s">
        <v>276</v>
      </c>
      <c r="S284" s="20">
        <v>30</v>
      </c>
      <c r="T284" s="15" t="s">
        <v>637</v>
      </c>
      <c r="U284" s="20">
        <v>0</v>
      </c>
      <c r="V284" s="20">
        <v>0</v>
      </c>
      <c r="W284" s="20">
        <v>0</v>
      </c>
      <c r="X284" s="20">
        <v>0</v>
      </c>
      <c r="Y284" s="20">
        <v>0</v>
      </c>
      <c r="Z284" s="20">
        <v>0</v>
      </c>
      <c r="AA284" s="20">
        <v>0</v>
      </c>
      <c r="AB284" s="20">
        <v>0</v>
      </c>
      <c r="AD284" s="15" t="s">
        <v>646</v>
      </c>
      <c r="AE284" s="14" t="str">
        <f>HYPERLINK("#단가대비표!B38", "▶바로가기")</f>
        <v>▶바로가기</v>
      </c>
    </row>
    <row r="285" spans="1:31" ht="30" customHeight="1" x14ac:dyDescent="0.3">
      <c r="A285" s="21" t="s">
        <v>61</v>
      </c>
      <c r="B285" s="17" t="s">
        <v>646</v>
      </c>
      <c r="C285" s="21" t="s">
        <v>128</v>
      </c>
      <c r="D285" s="24">
        <v>1</v>
      </c>
      <c r="E285" s="11">
        <f>일위대가목록!E38</f>
        <v>432</v>
      </c>
      <c r="F285" s="8">
        <f>TRUNC(D285*E285,1)</f>
        <v>432</v>
      </c>
      <c r="G285" s="11">
        <f>일위대가목록!F38</f>
        <v>1487</v>
      </c>
      <c r="H285" s="8">
        <f>TRUNC(D285*G285,1)</f>
        <v>1487</v>
      </c>
      <c r="I285" s="11">
        <f>일위대가목록!G38</f>
        <v>0</v>
      </c>
      <c r="J285" s="8">
        <f>TRUNC(D285*I285,1)</f>
        <v>0</v>
      </c>
      <c r="K285" s="8">
        <f t="shared" si="36"/>
        <v>1919</v>
      </c>
      <c r="L285" s="8">
        <f t="shared" si="36"/>
        <v>1919</v>
      </c>
      <c r="M285" s="17"/>
      <c r="N285" s="1" t="s">
        <v>64</v>
      </c>
      <c r="O285" s="15" t="s">
        <v>476</v>
      </c>
      <c r="P285" s="15" t="s">
        <v>646</v>
      </c>
      <c r="Q285" s="15" t="s">
        <v>646</v>
      </c>
      <c r="R285" s="15" t="s">
        <v>276</v>
      </c>
      <c r="S285" s="20">
        <v>40</v>
      </c>
      <c r="T285" s="15" t="s">
        <v>493</v>
      </c>
      <c r="U285" s="20">
        <v>0</v>
      </c>
      <c r="V285" s="20">
        <v>0</v>
      </c>
      <c r="W285" s="20">
        <v>0</v>
      </c>
      <c r="X285" s="20">
        <v>0</v>
      </c>
      <c r="Y285" s="20">
        <v>0</v>
      </c>
      <c r="Z285" s="20">
        <v>0</v>
      </c>
      <c r="AA285" s="20">
        <v>0</v>
      </c>
      <c r="AB285" s="20">
        <v>0</v>
      </c>
      <c r="AD285" s="15" t="s">
        <v>646</v>
      </c>
      <c r="AE285" s="14" t="str">
        <f>HYPERLINK("#일위대가!B211", "▶바로가기")</f>
        <v>▶바로가기</v>
      </c>
    </row>
    <row r="286" spans="1:31" ht="30" customHeight="1" x14ac:dyDescent="0.3">
      <c r="A286" s="21" t="s">
        <v>377</v>
      </c>
      <c r="B286" s="17" t="s">
        <v>520</v>
      </c>
      <c r="C286" s="21" t="s">
        <v>128</v>
      </c>
      <c r="D286" s="24">
        <v>1</v>
      </c>
      <c r="E286" s="11">
        <f>일위대가목록!E41</f>
        <v>1306</v>
      </c>
      <c r="F286" s="8">
        <f>TRUNC(D286*E286,1)</f>
        <v>1306</v>
      </c>
      <c r="G286" s="11">
        <f>일위대가목록!F41</f>
        <v>11897</v>
      </c>
      <c r="H286" s="8">
        <f>TRUNC(D286*G286,1)</f>
        <v>11897</v>
      </c>
      <c r="I286" s="11">
        <f>일위대가목록!G41</f>
        <v>0</v>
      </c>
      <c r="J286" s="8">
        <f>TRUNC(D286*I286,1)</f>
        <v>0</v>
      </c>
      <c r="K286" s="8">
        <f t="shared" si="36"/>
        <v>13203</v>
      </c>
      <c r="L286" s="8">
        <f t="shared" si="36"/>
        <v>13203</v>
      </c>
      <c r="M286" s="17" t="s">
        <v>646</v>
      </c>
      <c r="N286" s="1" t="s">
        <v>64</v>
      </c>
      <c r="O286" s="15" t="s">
        <v>660</v>
      </c>
      <c r="P286" s="15" t="s">
        <v>646</v>
      </c>
      <c r="Q286" s="15" t="s">
        <v>646</v>
      </c>
      <c r="R286" s="15" t="s">
        <v>276</v>
      </c>
      <c r="S286" s="20">
        <v>50</v>
      </c>
      <c r="T286" s="15" t="s">
        <v>493</v>
      </c>
      <c r="U286" s="20">
        <v>0</v>
      </c>
      <c r="V286" s="20">
        <v>0</v>
      </c>
      <c r="W286" s="20">
        <v>0</v>
      </c>
      <c r="X286" s="20">
        <v>0</v>
      </c>
      <c r="Y286" s="20">
        <v>0</v>
      </c>
      <c r="Z286" s="20">
        <v>0</v>
      </c>
      <c r="AA286" s="20">
        <v>0</v>
      </c>
      <c r="AB286" s="20">
        <v>0</v>
      </c>
      <c r="AD286" s="15" t="s">
        <v>646</v>
      </c>
      <c r="AE286" s="14" t="str">
        <f>HYPERLINK("#일위대가!B232", "▶바로가기")</f>
        <v>▶바로가기</v>
      </c>
    </row>
    <row r="287" spans="1:31" ht="30" customHeight="1" x14ac:dyDescent="0.3">
      <c r="A287" s="21" t="s">
        <v>515</v>
      </c>
      <c r="B287" s="21" t="s">
        <v>646</v>
      </c>
      <c r="C287" s="21" t="s">
        <v>646</v>
      </c>
      <c r="D287" s="21" t="s">
        <v>646</v>
      </c>
      <c r="E287" s="11">
        <v>0</v>
      </c>
      <c r="F287" s="11">
        <f>TRUNC(SUMIF(R282:R286, " ", F282:F286),0)</f>
        <v>8079</v>
      </c>
      <c r="G287" s="11">
        <v>0</v>
      </c>
      <c r="H287" s="11">
        <f>TRUNC(SUMIF(R282:R286, " ", H282:H286),0)</f>
        <v>13384</v>
      </c>
      <c r="I287" s="11">
        <v>0</v>
      </c>
      <c r="J287" s="8">
        <f>TRUNC(SUMIF(R282:R286, " ", J282:J286),0)</f>
        <v>0</v>
      </c>
      <c r="K287" s="13" t="s">
        <v>646</v>
      </c>
      <c r="L287" s="11">
        <f>F287+H287+J287</f>
        <v>21463</v>
      </c>
      <c r="M287" s="17"/>
      <c r="N287" s="6" t="s">
        <v>293</v>
      </c>
      <c r="O287" s="23" t="s">
        <v>293</v>
      </c>
    </row>
    <row r="288" spans="1:31" ht="30" customHeight="1" x14ac:dyDescent="0.3"/>
  </sheetData>
  <mergeCells count="72">
    <mergeCell ref="A281:M281"/>
    <mergeCell ref="A249:M249"/>
    <mergeCell ref="A254:M254"/>
    <mergeCell ref="A260:M260"/>
    <mergeCell ref="A267:M267"/>
    <mergeCell ref="A273:M273"/>
    <mergeCell ref="A218:M218"/>
    <mergeCell ref="A226:M226"/>
    <mergeCell ref="A232:M232"/>
    <mergeCell ref="A237:M237"/>
    <mergeCell ref="A243:M243"/>
    <mergeCell ref="A186:M186"/>
    <mergeCell ref="A190:M190"/>
    <mergeCell ref="A196:M196"/>
    <mergeCell ref="A203:M203"/>
    <mergeCell ref="A211:M211"/>
    <mergeCell ref="A153:M153"/>
    <mergeCell ref="A158:M158"/>
    <mergeCell ref="A164:M164"/>
    <mergeCell ref="A173:M173"/>
    <mergeCell ref="A182:M182"/>
    <mergeCell ref="A124:M124"/>
    <mergeCell ref="A129:M129"/>
    <mergeCell ref="A135:M135"/>
    <mergeCell ref="A141:M141"/>
    <mergeCell ref="A147:M147"/>
    <mergeCell ref="A85:M85"/>
    <mergeCell ref="A91:M91"/>
    <mergeCell ref="A97:M97"/>
    <mergeCell ref="A113:M113"/>
    <mergeCell ref="A119:M119"/>
    <mergeCell ref="A58:M58"/>
    <mergeCell ref="A63:M63"/>
    <mergeCell ref="A67:M67"/>
    <mergeCell ref="A73:M73"/>
    <mergeCell ref="A79:M79"/>
    <mergeCell ref="A29:M29"/>
    <mergeCell ref="A35:M35"/>
    <mergeCell ref="A41:M41"/>
    <mergeCell ref="A47:M47"/>
    <mergeCell ref="A53:M53"/>
    <mergeCell ref="A5:M5"/>
    <mergeCell ref="A9:M9"/>
    <mergeCell ref="A13:M13"/>
    <mergeCell ref="A19:M19"/>
    <mergeCell ref="A23:M23"/>
    <mergeCell ref="X3:X4"/>
    <mergeCell ref="Y3:Y4"/>
    <mergeCell ref="Z3:Z4"/>
    <mergeCell ref="AA3:AA4"/>
    <mergeCell ref="AB3:AB4"/>
    <mergeCell ref="S3:S4"/>
    <mergeCell ref="T3:T4"/>
    <mergeCell ref="U3:U4"/>
    <mergeCell ref="V3:V4"/>
    <mergeCell ref="W3:W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15" type="noConversion"/>
  <pageMargins left="0.78740157480314954" right="0" top="0.39370078740157477" bottom="0.37735849056603776" header="0" footer="0"/>
  <pageSetup paperSize="9" scale="6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/>
    <pageSetUpPr fitToPage="1"/>
  </sheetPr>
  <dimension ref="A1:AN63"/>
  <sheetViews>
    <sheetView view="pageBreakPreview" topLeftCell="B1" zoomScale="60" zoomScaleNormal="100" workbookViewId="0">
      <selection activeCell="A3" sqref="A3:A4"/>
    </sheetView>
  </sheetViews>
  <sheetFormatPr defaultColWidth="9.125" defaultRowHeight="16.5" x14ac:dyDescent="0.3"/>
  <cols>
    <col min="1" max="1" width="9.125" hidden="1"/>
    <col min="2" max="2" width="29.625" customWidth="1"/>
    <col min="3" max="3" width="27.5" customWidth="1"/>
    <col min="4" max="4" width="5.5" customWidth="1"/>
    <col min="5" max="5" width="10.25" customWidth="1"/>
    <col min="6" max="6" width="6.625" customWidth="1"/>
    <col min="7" max="7" width="9.5" customWidth="1"/>
    <col min="8" max="8" width="6.625" customWidth="1"/>
    <col min="9" max="9" width="9.5" customWidth="1"/>
    <col min="10" max="10" width="6.625" customWidth="1"/>
    <col min="11" max="11" width="9.5" customWidth="1"/>
    <col min="12" max="12" width="6.625" customWidth="1"/>
    <col min="13" max="13" width="9.5" customWidth="1"/>
    <col min="14" max="14" width="6.625" customWidth="1"/>
    <col min="15" max="15" width="9.5" customWidth="1"/>
    <col min="16" max="16" width="6.625" customWidth="1"/>
    <col min="17" max="17" width="9.5" customWidth="1"/>
    <col min="18" max="18" width="6.625" customWidth="1"/>
    <col min="19" max="19" width="9.5" customWidth="1"/>
    <col min="20" max="20" width="6.625" customWidth="1"/>
    <col min="21" max="22" width="9.25" customWidth="1"/>
    <col min="23" max="23" width="10.25" customWidth="1"/>
    <col min="24" max="30" width="9.5" customWidth="1"/>
    <col min="31" max="31" width="9.25" customWidth="1"/>
    <col min="32" max="32" width="6.75" customWidth="1"/>
    <col min="33" max="40" width="9.125" hidden="1"/>
  </cols>
  <sheetData>
    <row r="1" spans="1:39" ht="30" customHeight="1" x14ac:dyDescent="0.3">
      <c r="A1" s="96" t="s">
        <v>53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</row>
    <row r="2" spans="1:39" ht="30" customHeight="1" x14ac:dyDescent="0.3">
      <c r="A2" s="97" t="str">
        <f>"[" &amp; 설계서용지!F7 &amp; "]"</f>
        <v>[공용 스마트 교육공간 인프라 구축 건축공사]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</row>
    <row r="3" spans="1:39" ht="30" customHeight="1" x14ac:dyDescent="0.3">
      <c r="A3" s="105" t="s">
        <v>105</v>
      </c>
      <c r="B3" s="105" t="s">
        <v>512</v>
      </c>
      <c r="C3" s="105" t="s">
        <v>397</v>
      </c>
      <c r="D3" s="105" t="s">
        <v>59</v>
      </c>
      <c r="E3" s="98" t="s">
        <v>76</v>
      </c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100"/>
      <c r="V3" s="105" t="s">
        <v>179</v>
      </c>
      <c r="W3" s="98" t="s">
        <v>265</v>
      </c>
      <c r="X3" s="99"/>
      <c r="Y3" s="99"/>
      <c r="Z3" s="99"/>
      <c r="AA3" s="99"/>
      <c r="AB3" s="99"/>
      <c r="AC3" s="99"/>
      <c r="AD3" s="99"/>
      <c r="AE3" s="100"/>
      <c r="AF3" s="105" t="s">
        <v>605</v>
      </c>
      <c r="AG3" s="107" t="s">
        <v>778</v>
      </c>
      <c r="AH3" s="108" t="s">
        <v>131</v>
      </c>
      <c r="AI3" s="108" t="s">
        <v>427</v>
      </c>
      <c r="AJ3" s="108" t="s">
        <v>359</v>
      </c>
      <c r="AK3" s="108" t="s">
        <v>270</v>
      </c>
      <c r="AL3" s="108" t="s">
        <v>139</v>
      </c>
      <c r="AM3" s="108" t="s">
        <v>587</v>
      </c>
    </row>
    <row r="4" spans="1:39" ht="30" customHeight="1" x14ac:dyDescent="0.3">
      <c r="A4" s="106"/>
      <c r="B4" s="106"/>
      <c r="C4" s="106"/>
      <c r="D4" s="106"/>
      <c r="E4" s="18" t="s">
        <v>773</v>
      </c>
      <c r="F4" s="18" t="s">
        <v>137</v>
      </c>
      <c r="G4" s="18" t="s">
        <v>514</v>
      </c>
      <c r="H4" s="18" t="s">
        <v>137</v>
      </c>
      <c r="I4" s="18" t="s">
        <v>599</v>
      </c>
      <c r="J4" s="18" t="s">
        <v>137</v>
      </c>
      <c r="K4" s="18" t="s">
        <v>10</v>
      </c>
      <c r="L4" s="18" t="s">
        <v>137</v>
      </c>
      <c r="M4" s="18" t="s">
        <v>232</v>
      </c>
      <c r="N4" s="18" t="s">
        <v>137</v>
      </c>
      <c r="O4" s="18" t="s">
        <v>62</v>
      </c>
      <c r="P4" s="18" t="s">
        <v>137</v>
      </c>
      <c r="Q4" s="18" t="s">
        <v>247</v>
      </c>
      <c r="R4" s="18" t="s">
        <v>137</v>
      </c>
      <c r="S4" s="18" t="s">
        <v>394</v>
      </c>
      <c r="T4" s="18" t="s">
        <v>137</v>
      </c>
      <c r="U4" s="18" t="s">
        <v>370</v>
      </c>
      <c r="V4" s="106"/>
      <c r="W4" s="18" t="s">
        <v>773</v>
      </c>
      <c r="X4" s="18" t="s">
        <v>514</v>
      </c>
      <c r="Y4" s="18" t="s">
        <v>599</v>
      </c>
      <c r="Z4" s="18" t="s">
        <v>10</v>
      </c>
      <c r="AA4" s="18" t="s">
        <v>232</v>
      </c>
      <c r="AB4" s="18" t="s">
        <v>62</v>
      </c>
      <c r="AC4" s="18" t="s">
        <v>247</v>
      </c>
      <c r="AD4" s="18" t="s">
        <v>394</v>
      </c>
      <c r="AE4" s="18" t="s">
        <v>370</v>
      </c>
      <c r="AF4" s="106"/>
      <c r="AG4" s="107"/>
      <c r="AH4" s="108"/>
      <c r="AI4" s="108"/>
      <c r="AJ4" s="108"/>
      <c r="AK4" s="108"/>
      <c r="AL4" s="108"/>
      <c r="AM4" s="108"/>
    </row>
    <row r="5" spans="1:39" ht="30" customHeight="1" x14ac:dyDescent="0.3">
      <c r="A5" s="21" t="s">
        <v>495</v>
      </c>
      <c r="B5" s="21" t="s">
        <v>506</v>
      </c>
      <c r="C5" s="17" t="s">
        <v>286</v>
      </c>
      <c r="D5" s="21" t="s">
        <v>425</v>
      </c>
      <c r="E5" s="11">
        <v>11142</v>
      </c>
      <c r="F5" s="21" t="s">
        <v>646</v>
      </c>
      <c r="G5" s="11">
        <v>9800</v>
      </c>
      <c r="H5" s="21" t="s">
        <v>459</v>
      </c>
      <c r="I5" s="11">
        <v>9400</v>
      </c>
      <c r="J5" s="21" t="s">
        <v>101</v>
      </c>
      <c r="K5" s="11">
        <v>9400</v>
      </c>
      <c r="L5" s="21" t="s">
        <v>104</v>
      </c>
      <c r="M5" s="11">
        <v>11900</v>
      </c>
      <c r="N5" s="21" t="s">
        <v>625</v>
      </c>
      <c r="O5" s="8">
        <v>0</v>
      </c>
      <c r="P5" s="21" t="s">
        <v>646</v>
      </c>
      <c r="Q5" s="8">
        <v>0</v>
      </c>
      <c r="R5" s="21" t="s">
        <v>646</v>
      </c>
      <c r="S5" s="8">
        <v>0</v>
      </c>
      <c r="T5" s="21" t="s">
        <v>646</v>
      </c>
      <c r="U5" s="8">
        <f>ROUND(IF(MIN(E5,G5,I5,K5,M5,O5,Q5,S5)&lt;0, MIN(E5,G5,I5,K5,M5,O5,Q5,S5), SMALL(E5:T5,COUNTIF(E5:T5,0)+1)) * 공사설정!$C$24 / 100*AK5/ 100, 1)</f>
        <v>9400</v>
      </c>
      <c r="V5" s="8">
        <f>ROUND(0 * 공사설정!$C$25 / 100*AL5/ 100,1)</f>
        <v>0</v>
      </c>
      <c r="W5" s="8">
        <v>0</v>
      </c>
      <c r="X5" s="8">
        <v>0</v>
      </c>
      <c r="Y5" s="8">
        <v>0</v>
      </c>
      <c r="Z5" s="8">
        <v>0</v>
      </c>
      <c r="AA5" s="8">
        <v>0</v>
      </c>
      <c r="AB5" s="8">
        <v>0</v>
      </c>
      <c r="AC5" s="8">
        <v>0</v>
      </c>
      <c r="AD5" s="8">
        <v>0</v>
      </c>
      <c r="AE5" s="8">
        <f>ROUND(IF(MIN(W5:AD5)=AVERAGE(W5:AD5), 0, IF(MIN(W5:AD5)&lt;0, MIN(W5:AD5), SMALL(W5:AD5,COUNTIF(W5:AD5,0)+1))) * 공사설정!$C$26 / 100*AM5/ 100,1)</f>
        <v>0</v>
      </c>
      <c r="AF5" s="17" t="s">
        <v>646</v>
      </c>
      <c r="AG5" s="21" t="s">
        <v>646</v>
      </c>
      <c r="AH5" s="21" t="s">
        <v>646</v>
      </c>
      <c r="AJ5" s="21" t="s">
        <v>646</v>
      </c>
      <c r="AK5" s="24">
        <v>100</v>
      </c>
      <c r="AL5" s="24">
        <v>100</v>
      </c>
      <c r="AM5" s="26">
        <v>100</v>
      </c>
    </row>
    <row r="6" spans="1:39" ht="30" customHeight="1" x14ac:dyDescent="0.3">
      <c r="A6" s="21" t="s">
        <v>774</v>
      </c>
      <c r="B6" s="21" t="s">
        <v>506</v>
      </c>
      <c r="C6" s="17" t="s">
        <v>613</v>
      </c>
      <c r="D6" s="21" t="s">
        <v>128</v>
      </c>
      <c r="E6" s="11">
        <v>4448</v>
      </c>
      <c r="F6" s="21" t="s">
        <v>646</v>
      </c>
      <c r="G6" s="11">
        <v>4703</v>
      </c>
      <c r="H6" s="21" t="s">
        <v>459</v>
      </c>
      <c r="I6" s="8">
        <v>4669.3999999999996</v>
      </c>
      <c r="J6" s="21" t="s">
        <v>101</v>
      </c>
      <c r="K6" s="8">
        <v>4669.3999999999996</v>
      </c>
      <c r="L6" s="21" t="s">
        <v>104</v>
      </c>
      <c r="M6" s="16">
        <v>5744.42</v>
      </c>
      <c r="N6" s="21" t="s">
        <v>625</v>
      </c>
      <c r="O6" s="8">
        <v>0</v>
      </c>
      <c r="P6" s="21" t="s">
        <v>646</v>
      </c>
      <c r="Q6" s="8">
        <v>0</v>
      </c>
      <c r="R6" s="21" t="s">
        <v>646</v>
      </c>
      <c r="S6" s="8">
        <v>0</v>
      </c>
      <c r="T6" s="21" t="s">
        <v>646</v>
      </c>
      <c r="U6" s="8">
        <f>ROUND(IF(MIN(E6,G6,I6,K6,M6,O6,Q6,S6)&lt;0, MIN(E6,G6,I6,K6,M6,O6,Q6,S6), SMALL(E6:T6,COUNTIF(E6:T6,0)+1)) * 공사설정!$C$24 / 100*AK6/ 100, 1)</f>
        <v>4448</v>
      </c>
      <c r="V6" s="8">
        <f>ROUND(0 * 공사설정!$C$25 / 100*AL6/ 100,1)</f>
        <v>0</v>
      </c>
      <c r="W6" s="8">
        <v>0</v>
      </c>
      <c r="X6" s="8">
        <v>0</v>
      </c>
      <c r="Y6" s="8">
        <v>0</v>
      </c>
      <c r="Z6" s="8">
        <v>0</v>
      </c>
      <c r="AA6" s="8">
        <v>0</v>
      </c>
      <c r="AB6" s="8">
        <v>0</v>
      </c>
      <c r="AC6" s="8">
        <v>0</v>
      </c>
      <c r="AD6" s="8">
        <v>0</v>
      </c>
      <c r="AE6" s="8">
        <f>ROUND(IF(MIN(W6:AD6)=AVERAGE(W6:AD6), 0, IF(MIN(W6:AD6)&lt;0, MIN(W6:AD6), SMALL(W6:AD6,COUNTIF(W6:AD6,0)+1))) * 공사설정!$C$26 / 100*AM6/ 100,1)</f>
        <v>0</v>
      </c>
      <c r="AF6" s="17" t="s">
        <v>646</v>
      </c>
      <c r="AG6" s="21" t="s">
        <v>646</v>
      </c>
      <c r="AH6" s="21" t="s">
        <v>646</v>
      </c>
      <c r="AJ6" s="21" t="s">
        <v>646</v>
      </c>
      <c r="AK6" s="24">
        <v>100</v>
      </c>
      <c r="AL6" s="24">
        <v>100</v>
      </c>
      <c r="AM6" s="26">
        <v>100</v>
      </c>
    </row>
    <row r="7" spans="1:39" ht="30" customHeight="1" x14ac:dyDescent="0.3">
      <c r="A7" s="21" t="s">
        <v>462</v>
      </c>
      <c r="B7" s="21" t="s">
        <v>419</v>
      </c>
      <c r="C7" s="17" t="s">
        <v>469</v>
      </c>
      <c r="D7" s="21" t="s">
        <v>128</v>
      </c>
      <c r="E7" s="11">
        <v>5673</v>
      </c>
      <c r="F7" s="21" t="s">
        <v>646</v>
      </c>
      <c r="G7" s="8">
        <v>7625.6</v>
      </c>
      <c r="H7" s="21" t="s">
        <v>194</v>
      </c>
      <c r="I7" s="16">
        <v>6550.65</v>
      </c>
      <c r="J7" s="21" t="s">
        <v>751</v>
      </c>
      <c r="K7" s="8">
        <v>6886.6</v>
      </c>
      <c r="L7" s="21" t="s">
        <v>104</v>
      </c>
      <c r="M7" s="16">
        <v>6886.59</v>
      </c>
      <c r="N7" s="21" t="s">
        <v>48</v>
      </c>
      <c r="O7" s="8">
        <v>0</v>
      </c>
      <c r="P7" s="21" t="s">
        <v>646</v>
      </c>
      <c r="Q7" s="8">
        <v>0</v>
      </c>
      <c r="R7" s="21" t="s">
        <v>646</v>
      </c>
      <c r="S7" s="8">
        <v>0</v>
      </c>
      <c r="T7" s="21" t="s">
        <v>646</v>
      </c>
      <c r="U7" s="8">
        <f>ROUND(IF(MIN(E7,G7,I7,K7,M7,O7,Q7,S7)&lt;0, MIN(E7,G7,I7,K7,M7,O7,Q7,S7), SMALL(E7:T7,COUNTIF(E7:T7,0)+1)) * 공사설정!$C$24 / 100*AK7/ 100, 1)</f>
        <v>5673</v>
      </c>
      <c r="V7" s="8">
        <f>ROUND(0 * 공사설정!$C$25 / 100*AL7/ 100,1)</f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  <c r="AD7" s="8">
        <v>0</v>
      </c>
      <c r="AE7" s="8">
        <f>ROUND(IF(MIN(W7:AD7)=AVERAGE(W7:AD7), 0, IF(MIN(W7:AD7)&lt;0, MIN(W7:AD7), SMALL(W7:AD7,COUNTIF(W7:AD7,0)+1))) * 공사설정!$C$26 / 100*AM7/ 100,1)</f>
        <v>0</v>
      </c>
      <c r="AF7" s="17" t="s">
        <v>646</v>
      </c>
      <c r="AG7" s="21" t="s">
        <v>646</v>
      </c>
      <c r="AH7" s="21" t="s">
        <v>646</v>
      </c>
      <c r="AJ7" s="21" t="s">
        <v>646</v>
      </c>
      <c r="AK7" s="24">
        <v>100</v>
      </c>
      <c r="AL7" s="24">
        <v>100</v>
      </c>
      <c r="AM7" s="26">
        <v>100</v>
      </c>
    </row>
    <row r="8" spans="1:39" ht="30" customHeight="1" x14ac:dyDescent="0.3">
      <c r="A8" s="21" t="s">
        <v>362</v>
      </c>
      <c r="B8" s="21" t="s">
        <v>189</v>
      </c>
      <c r="C8" s="17" t="s">
        <v>222</v>
      </c>
      <c r="D8" s="21" t="s">
        <v>107</v>
      </c>
      <c r="E8" s="11">
        <v>261</v>
      </c>
      <c r="F8" s="21" t="s">
        <v>646</v>
      </c>
      <c r="G8" s="11">
        <v>400</v>
      </c>
      <c r="H8" s="21" t="s">
        <v>584</v>
      </c>
      <c r="I8" s="11">
        <v>400</v>
      </c>
      <c r="J8" s="21" t="s">
        <v>204</v>
      </c>
      <c r="K8" s="11">
        <v>305</v>
      </c>
      <c r="L8" s="21" t="s">
        <v>296</v>
      </c>
      <c r="M8" s="11">
        <v>330</v>
      </c>
      <c r="N8" s="21" t="s">
        <v>640</v>
      </c>
      <c r="O8" s="8">
        <v>0</v>
      </c>
      <c r="P8" s="21" t="s">
        <v>646</v>
      </c>
      <c r="Q8" s="8">
        <v>0</v>
      </c>
      <c r="R8" s="21" t="s">
        <v>646</v>
      </c>
      <c r="S8" s="8">
        <v>0</v>
      </c>
      <c r="T8" s="21" t="s">
        <v>646</v>
      </c>
      <c r="U8" s="8">
        <f>ROUND(IF(MIN(E8,G8,I8,K8,M8,O8,Q8,S8)&lt;0, MIN(E8,G8,I8,K8,M8,O8,Q8,S8), SMALL(E8:T8,COUNTIF(E8:T8,0)+1)) * 공사설정!$C$24 / 100*AK8/ 100, 1)</f>
        <v>261</v>
      </c>
      <c r="V8" s="8">
        <f>ROUND(0 * 공사설정!$C$25 / 100*AL8/ 100,1)</f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  <c r="AD8" s="8">
        <v>0</v>
      </c>
      <c r="AE8" s="8">
        <f>ROUND(IF(MIN(W8:AD8)=AVERAGE(W8:AD8), 0, IF(MIN(W8:AD8)&lt;0, MIN(W8:AD8), SMALL(W8:AD8,COUNTIF(W8:AD8,0)+1))) * 공사설정!$C$26 / 100*AM8/ 100,1)</f>
        <v>0</v>
      </c>
      <c r="AF8" s="17" t="s">
        <v>646</v>
      </c>
      <c r="AG8" s="21" t="s">
        <v>646</v>
      </c>
      <c r="AH8" s="21" t="s">
        <v>646</v>
      </c>
      <c r="AJ8" s="21" t="s">
        <v>646</v>
      </c>
      <c r="AK8" s="24">
        <v>100</v>
      </c>
      <c r="AL8" s="24">
        <v>100</v>
      </c>
      <c r="AM8" s="26">
        <v>100</v>
      </c>
    </row>
    <row r="9" spans="1:39" ht="30" customHeight="1" x14ac:dyDescent="0.3">
      <c r="A9" s="21" t="s">
        <v>743</v>
      </c>
      <c r="B9" s="21" t="s">
        <v>659</v>
      </c>
      <c r="C9" s="17" t="s">
        <v>124</v>
      </c>
      <c r="D9" s="21" t="s">
        <v>107</v>
      </c>
      <c r="E9" s="11">
        <v>1020</v>
      </c>
      <c r="F9" s="21" t="s">
        <v>646</v>
      </c>
      <c r="G9" s="11">
        <v>1160</v>
      </c>
      <c r="H9" s="21" t="s">
        <v>747</v>
      </c>
      <c r="I9" s="11">
        <v>1050</v>
      </c>
      <c r="J9" s="21" t="s">
        <v>313</v>
      </c>
      <c r="K9" s="11">
        <v>1020</v>
      </c>
      <c r="L9" s="21" t="s">
        <v>688</v>
      </c>
      <c r="M9" s="11">
        <v>1090</v>
      </c>
      <c r="N9" s="21" t="s">
        <v>736</v>
      </c>
      <c r="O9" s="8">
        <v>0</v>
      </c>
      <c r="P9" s="21" t="s">
        <v>646</v>
      </c>
      <c r="Q9" s="8">
        <v>0</v>
      </c>
      <c r="R9" s="21" t="s">
        <v>646</v>
      </c>
      <c r="S9" s="8">
        <v>0</v>
      </c>
      <c r="T9" s="21" t="s">
        <v>646</v>
      </c>
      <c r="U9" s="8">
        <f>ROUND(IF(MIN(E9,G9,I9,K9,M9,O9,Q9,S9)&lt;0, MIN(E9,G9,I9,K9,M9,O9,Q9,S9), SMALL(E9:T9,COUNTIF(E9:T9,0)+1)) * 공사설정!$C$24 / 100*AK9/ 100, 1)</f>
        <v>1020</v>
      </c>
      <c r="V9" s="8">
        <f>ROUND(0 * 공사설정!$C$25 / 100*AL9/ 100,1)</f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f>ROUND(IF(MIN(W9:AD9)=AVERAGE(W9:AD9), 0, IF(MIN(W9:AD9)&lt;0, MIN(W9:AD9), SMALL(W9:AD9,COUNTIF(W9:AD9,0)+1))) * 공사설정!$C$26 / 100*AM9/ 100,1)</f>
        <v>0</v>
      </c>
      <c r="AF9" s="17" t="s">
        <v>186</v>
      </c>
      <c r="AG9" s="21" t="s">
        <v>646</v>
      </c>
      <c r="AH9" s="21" t="s">
        <v>646</v>
      </c>
      <c r="AJ9" s="21" t="s">
        <v>646</v>
      </c>
      <c r="AK9" s="24">
        <v>100</v>
      </c>
      <c r="AL9" s="24">
        <v>100</v>
      </c>
      <c r="AM9" s="26">
        <v>100</v>
      </c>
    </row>
    <row r="10" spans="1:39" ht="30" customHeight="1" x14ac:dyDescent="0.3">
      <c r="A10" s="21" t="s">
        <v>711</v>
      </c>
      <c r="B10" s="21" t="s">
        <v>111</v>
      </c>
      <c r="C10" s="17" t="s">
        <v>183</v>
      </c>
      <c r="D10" s="21" t="s">
        <v>107</v>
      </c>
      <c r="E10" s="11">
        <v>891</v>
      </c>
      <c r="F10" s="21" t="s">
        <v>646</v>
      </c>
      <c r="G10" s="11">
        <v>940</v>
      </c>
      <c r="H10" s="21" t="s">
        <v>406</v>
      </c>
      <c r="I10" s="11">
        <v>1057</v>
      </c>
      <c r="J10" s="21" t="s">
        <v>97</v>
      </c>
      <c r="K10" s="11">
        <v>920</v>
      </c>
      <c r="L10" s="21" t="s">
        <v>240</v>
      </c>
      <c r="M10" s="11">
        <v>963</v>
      </c>
      <c r="N10" s="21" t="s">
        <v>783</v>
      </c>
      <c r="O10" s="8">
        <v>0</v>
      </c>
      <c r="P10" s="21" t="s">
        <v>646</v>
      </c>
      <c r="Q10" s="8">
        <v>0</v>
      </c>
      <c r="R10" s="21" t="s">
        <v>646</v>
      </c>
      <c r="S10" s="8">
        <v>0</v>
      </c>
      <c r="T10" s="21" t="s">
        <v>646</v>
      </c>
      <c r="U10" s="8">
        <f>ROUND(IF(MIN(E10,G10,I10,K10,M10,O10,Q10,S10)&lt;0, MIN(E10,G10,I10,K10,M10,O10,Q10,S10), SMALL(E10:T10,COUNTIF(E10:T10,0)+1)) * 공사설정!$C$24 / 100*AK10/ 100, 1)</f>
        <v>891</v>
      </c>
      <c r="V10" s="8">
        <f>ROUND(0 * 공사설정!$C$25 / 100*AL10/ 100,1)</f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  <c r="AE10" s="8">
        <f>ROUND(IF(MIN(W10:AD10)=AVERAGE(W10:AD10), 0, IF(MIN(W10:AD10)&lt;0, MIN(W10:AD10), SMALL(W10:AD10,COUNTIF(W10:AD10,0)+1))) * 공사설정!$C$26 / 100*AM10/ 100,1)</f>
        <v>0</v>
      </c>
      <c r="AF10" s="17" t="s">
        <v>646</v>
      </c>
      <c r="AG10" s="21" t="s">
        <v>646</v>
      </c>
      <c r="AH10" s="21" t="s">
        <v>646</v>
      </c>
      <c r="AJ10" s="21" t="s">
        <v>646</v>
      </c>
      <c r="AK10" s="24">
        <v>100</v>
      </c>
      <c r="AL10" s="24">
        <v>100</v>
      </c>
      <c r="AM10" s="26">
        <v>100</v>
      </c>
    </row>
    <row r="11" spans="1:39" ht="30" customHeight="1" x14ac:dyDescent="0.3">
      <c r="A11" s="21" t="s">
        <v>351</v>
      </c>
      <c r="B11" s="21" t="s">
        <v>536</v>
      </c>
      <c r="C11" s="17" t="s">
        <v>220</v>
      </c>
      <c r="D11" s="21" t="s">
        <v>165</v>
      </c>
      <c r="E11" s="11">
        <v>2433</v>
      </c>
      <c r="F11" s="21" t="s">
        <v>646</v>
      </c>
      <c r="G11" s="11">
        <v>2500</v>
      </c>
      <c r="H11" s="21" t="s">
        <v>343</v>
      </c>
      <c r="I11" s="11">
        <v>2358</v>
      </c>
      <c r="J11" s="21" t="s">
        <v>449</v>
      </c>
      <c r="K11" s="11">
        <v>2400</v>
      </c>
      <c r="L11" s="21" t="s">
        <v>525</v>
      </c>
      <c r="M11" s="8">
        <v>0</v>
      </c>
      <c r="N11" s="21" t="s">
        <v>646</v>
      </c>
      <c r="O11" s="8">
        <v>0</v>
      </c>
      <c r="P11" s="21" t="s">
        <v>646</v>
      </c>
      <c r="Q11" s="8">
        <v>0</v>
      </c>
      <c r="R11" s="21" t="s">
        <v>646</v>
      </c>
      <c r="S11" s="8">
        <v>0</v>
      </c>
      <c r="T11" s="21" t="s">
        <v>646</v>
      </c>
      <c r="U11" s="8">
        <f>ROUND(IF(MIN(E11,G11,I11,K11,M11,O11,Q11,S11)&lt;0, MIN(E11,G11,I11,K11,M11,O11,Q11,S11), SMALL(E11:T11,COUNTIF(E11:T11,0)+1)) * 공사설정!$C$24 / 100*AK11/ 100, 1)</f>
        <v>2358</v>
      </c>
      <c r="V11" s="8">
        <f>ROUND(0 * 공사설정!$C$25 / 100*AL11/ 100,1)</f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f>ROUND(IF(MIN(W11:AD11)=AVERAGE(W11:AD11), 0, IF(MIN(W11:AD11)&lt;0, MIN(W11:AD11), SMALL(W11:AD11,COUNTIF(W11:AD11,0)+1))) * 공사설정!$C$26 / 100*AM11/ 100,1)</f>
        <v>0</v>
      </c>
      <c r="AF11" s="17" t="s">
        <v>646</v>
      </c>
      <c r="AG11" s="21" t="s">
        <v>646</v>
      </c>
      <c r="AH11" s="21" t="s">
        <v>646</v>
      </c>
      <c r="AJ11" s="21" t="s">
        <v>646</v>
      </c>
      <c r="AK11" s="24">
        <v>100</v>
      </c>
      <c r="AL11" s="24">
        <v>100</v>
      </c>
      <c r="AM11" s="26">
        <v>100</v>
      </c>
    </row>
    <row r="12" spans="1:39" ht="30" customHeight="1" x14ac:dyDescent="0.3">
      <c r="A12" s="21" t="s">
        <v>712</v>
      </c>
      <c r="B12" s="21" t="s">
        <v>174</v>
      </c>
      <c r="C12" s="17" t="s">
        <v>50</v>
      </c>
      <c r="D12" s="21" t="s">
        <v>128</v>
      </c>
      <c r="E12" s="8">
        <v>0</v>
      </c>
      <c r="F12" s="21" t="s">
        <v>646</v>
      </c>
      <c r="G12" s="8">
        <v>0</v>
      </c>
      <c r="H12" s="21" t="s">
        <v>646</v>
      </c>
      <c r="I12" s="8">
        <v>0</v>
      </c>
      <c r="J12" s="21" t="s">
        <v>646</v>
      </c>
      <c r="K12" s="8">
        <v>0</v>
      </c>
      <c r="L12" s="21" t="s">
        <v>646</v>
      </c>
      <c r="M12" s="8">
        <v>0</v>
      </c>
      <c r="N12" s="21" t="s">
        <v>646</v>
      </c>
      <c r="O12" s="8">
        <v>0</v>
      </c>
      <c r="P12" s="21" t="s">
        <v>646</v>
      </c>
      <c r="Q12" s="8">
        <v>0</v>
      </c>
      <c r="R12" s="21" t="s">
        <v>646</v>
      </c>
      <c r="S12" s="8">
        <v>0</v>
      </c>
      <c r="T12" s="21" t="s">
        <v>646</v>
      </c>
      <c r="U12" s="8">
        <f>0*AK12/ 100</f>
        <v>0</v>
      </c>
      <c r="V12" s="8">
        <f>ROUND(0 * 공사설정!$C$25 / 100*AL12/ 100,1)</f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f>ROUND(IF(MIN(W12:AD12)=AVERAGE(W12:AD12), 0, IF(MIN(W12:AD12)&lt;0, MIN(W12:AD12), SMALL(W12:AD12,COUNTIF(W12:AD12,0)+1))) * 공사설정!$C$26 / 100*AM12/ 100,1)</f>
        <v>0</v>
      </c>
      <c r="AF12" s="17" t="s">
        <v>646</v>
      </c>
      <c r="AG12" s="21" t="s">
        <v>646</v>
      </c>
      <c r="AH12" s="21" t="s">
        <v>646</v>
      </c>
      <c r="AJ12" s="21" t="s">
        <v>646</v>
      </c>
      <c r="AK12" s="24">
        <v>100</v>
      </c>
      <c r="AL12" s="24">
        <v>100</v>
      </c>
      <c r="AM12" s="26">
        <v>100</v>
      </c>
    </row>
    <row r="13" spans="1:39" ht="30" customHeight="1" x14ac:dyDescent="0.3">
      <c r="A13" s="21" t="s">
        <v>504</v>
      </c>
      <c r="B13" s="21" t="s">
        <v>718</v>
      </c>
      <c r="C13" s="17" t="s">
        <v>714</v>
      </c>
      <c r="D13" s="21" t="s">
        <v>229</v>
      </c>
      <c r="E13" s="8">
        <v>0</v>
      </c>
      <c r="F13" s="21" t="s">
        <v>646</v>
      </c>
      <c r="G13" s="11">
        <v>1160</v>
      </c>
      <c r="H13" s="21" t="s">
        <v>779</v>
      </c>
      <c r="I13" s="11">
        <v>1160</v>
      </c>
      <c r="J13" s="21" t="s">
        <v>90</v>
      </c>
      <c r="K13" s="11">
        <v>620</v>
      </c>
      <c r="L13" s="21" t="s">
        <v>402</v>
      </c>
      <c r="M13" s="11">
        <v>1160</v>
      </c>
      <c r="N13" s="21" t="s">
        <v>309</v>
      </c>
      <c r="O13" s="8">
        <v>0</v>
      </c>
      <c r="P13" s="21" t="s">
        <v>646</v>
      </c>
      <c r="Q13" s="8">
        <v>0</v>
      </c>
      <c r="R13" s="21" t="s">
        <v>646</v>
      </c>
      <c r="S13" s="8">
        <v>0</v>
      </c>
      <c r="T13" s="21" t="s">
        <v>646</v>
      </c>
      <c r="U13" s="8">
        <f>ROUND(IF(MIN(E13,G13,I13,K13,M13,O13,Q13,S13)&lt;0, MIN(E13,G13,I13,K13,M13,O13,Q13,S13), SMALL(E13:T13,COUNTIF(E13:T13,0)+1)) * 공사설정!$C$24 / 100*AK13/ 100, 1)</f>
        <v>620</v>
      </c>
      <c r="V13" s="8">
        <f>ROUND(0 * 공사설정!$C$25 / 100*AL13/ 100,1)</f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f>ROUND(IF(MIN(W13:AD13)=AVERAGE(W13:AD13), 0, IF(MIN(W13:AD13)&lt;0, MIN(W13:AD13), SMALL(W13:AD13,COUNTIF(W13:AD13,0)+1))) * 공사설정!$C$26 / 100*AM13/ 100,1)</f>
        <v>0</v>
      </c>
      <c r="AF13" s="17" t="s">
        <v>646</v>
      </c>
      <c r="AG13" s="21" t="s">
        <v>646</v>
      </c>
      <c r="AH13" s="21" t="s">
        <v>646</v>
      </c>
      <c r="AJ13" s="21" t="s">
        <v>646</v>
      </c>
      <c r="AK13" s="24">
        <v>100</v>
      </c>
      <c r="AL13" s="24">
        <v>100</v>
      </c>
      <c r="AM13" s="26">
        <v>100</v>
      </c>
    </row>
    <row r="14" spans="1:39" ht="30" customHeight="1" x14ac:dyDescent="0.3">
      <c r="A14" s="21" t="s">
        <v>723</v>
      </c>
      <c r="B14" s="21" t="s">
        <v>718</v>
      </c>
      <c r="C14" s="17" t="s">
        <v>758</v>
      </c>
      <c r="D14" s="21" t="s">
        <v>691</v>
      </c>
      <c r="E14" s="8">
        <v>0</v>
      </c>
      <c r="F14" s="21" t="s">
        <v>646</v>
      </c>
      <c r="G14" s="11">
        <v>1450</v>
      </c>
      <c r="H14" s="21" t="s">
        <v>779</v>
      </c>
      <c r="I14" s="8">
        <v>0</v>
      </c>
      <c r="J14" s="21" t="s">
        <v>646</v>
      </c>
      <c r="K14" s="11">
        <v>1450</v>
      </c>
      <c r="L14" s="21" t="s">
        <v>402</v>
      </c>
      <c r="M14" s="11">
        <v>1450</v>
      </c>
      <c r="N14" s="21" t="s">
        <v>309</v>
      </c>
      <c r="O14" s="8">
        <v>0</v>
      </c>
      <c r="P14" s="21" t="s">
        <v>646</v>
      </c>
      <c r="Q14" s="8">
        <v>0</v>
      </c>
      <c r="R14" s="21" t="s">
        <v>646</v>
      </c>
      <c r="S14" s="8">
        <v>0</v>
      </c>
      <c r="T14" s="21" t="s">
        <v>646</v>
      </c>
      <c r="U14" s="8">
        <f>ROUND(IF(MIN(E14,G14,I14,K14,M14,O14,Q14,S14)&lt;0, MIN(E14,G14,I14,K14,M14,O14,Q14,S14), SMALL(E14:T14,COUNTIF(E14:T14,0)+1)) * 공사설정!$C$24 / 100*AK14/ 100, 1)</f>
        <v>1450</v>
      </c>
      <c r="V14" s="8">
        <f>ROUND(0 * 공사설정!$C$25 / 100*AL14/ 100,1)</f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f>ROUND(IF(MIN(W14:AD14)=AVERAGE(W14:AD14), 0, IF(MIN(W14:AD14)&lt;0, MIN(W14:AD14), SMALL(W14:AD14,COUNTIF(W14:AD14,0)+1))) * 공사설정!$C$26 / 100*AM14/ 100,1)</f>
        <v>0</v>
      </c>
      <c r="AF14" s="17" t="s">
        <v>646</v>
      </c>
      <c r="AG14" s="21" t="s">
        <v>646</v>
      </c>
      <c r="AH14" s="21" t="s">
        <v>646</v>
      </c>
      <c r="AJ14" s="21" t="s">
        <v>535</v>
      </c>
      <c r="AK14" s="24">
        <v>100</v>
      </c>
      <c r="AL14" s="24">
        <v>100</v>
      </c>
      <c r="AM14" s="26">
        <v>100</v>
      </c>
    </row>
    <row r="15" spans="1:39" ht="30" customHeight="1" x14ac:dyDescent="0.3">
      <c r="A15" s="21" t="s">
        <v>650</v>
      </c>
      <c r="B15" s="21" t="s">
        <v>718</v>
      </c>
      <c r="C15" s="17" t="s">
        <v>278</v>
      </c>
      <c r="D15" s="21" t="s">
        <v>229</v>
      </c>
      <c r="E15" s="8">
        <v>0</v>
      </c>
      <c r="F15" s="21" t="s">
        <v>646</v>
      </c>
      <c r="G15" s="11">
        <v>1560</v>
      </c>
      <c r="H15" s="21" t="s">
        <v>779</v>
      </c>
      <c r="I15" s="8">
        <v>0</v>
      </c>
      <c r="J15" s="21" t="s">
        <v>646</v>
      </c>
      <c r="K15" s="8">
        <v>0</v>
      </c>
      <c r="L15" s="21" t="s">
        <v>646</v>
      </c>
      <c r="M15" s="11">
        <v>1290</v>
      </c>
      <c r="N15" s="21" t="s">
        <v>309</v>
      </c>
      <c r="O15" s="8">
        <v>0</v>
      </c>
      <c r="P15" s="21" t="s">
        <v>646</v>
      </c>
      <c r="Q15" s="8">
        <v>0</v>
      </c>
      <c r="R15" s="21" t="s">
        <v>646</v>
      </c>
      <c r="S15" s="8">
        <v>0</v>
      </c>
      <c r="T15" s="21" t="s">
        <v>646</v>
      </c>
      <c r="U15" s="8">
        <f>ROUND(IF(MIN(E15,G15,I15,K15,M15,O15,Q15,S15)&lt;0, MIN(E15,G15,I15,K15,M15,O15,Q15,S15), SMALL(E15:T15,COUNTIF(E15:T15,0)+1)) * 공사설정!$C$24 / 100*AK15/ 100, 1)</f>
        <v>1290</v>
      </c>
      <c r="V15" s="8">
        <f>ROUND(0 * 공사설정!$C$25 / 100*AL15/ 100,1)</f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f>ROUND(IF(MIN(W15:AD15)=AVERAGE(W15:AD15), 0, IF(MIN(W15:AD15)&lt;0, MIN(W15:AD15), SMALL(W15:AD15,COUNTIF(W15:AD15,0)+1))) * 공사설정!$C$26 / 100*AM15/ 100,1)</f>
        <v>0</v>
      </c>
      <c r="AF15" s="17" t="s">
        <v>646</v>
      </c>
      <c r="AG15" s="21" t="s">
        <v>646</v>
      </c>
      <c r="AH15" s="21" t="s">
        <v>646</v>
      </c>
      <c r="AJ15" s="21" t="s">
        <v>646</v>
      </c>
      <c r="AK15" s="24">
        <v>100</v>
      </c>
      <c r="AL15" s="24">
        <v>100</v>
      </c>
      <c r="AM15" s="26">
        <v>100</v>
      </c>
    </row>
    <row r="16" spans="1:39" ht="30" customHeight="1" x14ac:dyDescent="0.3">
      <c r="A16" s="21" t="s">
        <v>60</v>
      </c>
      <c r="B16" s="21" t="s">
        <v>718</v>
      </c>
      <c r="C16" s="17" t="s">
        <v>600</v>
      </c>
      <c r="D16" s="21" t="s">
        <v>229</v>
      </c>
      <c r="E16" s="8">
        <v>0</v>
      </c>
      <c r="F16" s="21" t="s">
        <v>646</v>
      </c>
      <c r="G16" s="11">
        <v>980</v>
      </c>
      <c r="H16" s="21" t="s">
        <v>779</v>
      </c>
      <c r="I16" s="8">
        <v>0</v>
      </c>
      <c r="J16" s="21" t="s">
        <v>646</v>
      </c>
      <c r="K16" s="11">
        <v>1014</v>
      </c>
      <c r="L16" s="21" t="s">
        <v>402</v>
      </c>
      <c r="M16" s="11">
        <v>800</v>
      </c>
      <c r="N16" s="21" t="s">
        <v>309</v>
      </c>
      <c r="O16" s="8">
        <v>0</v>
      </c>
      <c r="P16" s="21" t="s">
        <v>646</v>
      </c>
      <c r="Q16" s="8">
        <v>0</v>
      </c>
      <c r="R16" s="21" t="s">
        <v>646</v>
      </c>
      <c r="S16" s="8">
        <v>0</v>
      </c>
      <c r="T16" s="21" t="s">
        <v>646</v>
      </c>
      <c r="U16" s="8">
        <f>ROUND(IF(MIN(E16,G16,I16,K16,M16,O16,Q16,S16)&lt;0, MIN(E16,G16,I16,K16,M16,O16,Q16,S16), SMALL(E16:T16,COUNTIF(E16:T16,0)+1)) * 공사설정!$C$24 / 100*AK16/ 100, 1)</f>
        <v>800</v>
      </c>
      <c r="V16" s="8">
        <f>ROUND(0 * 공사설정!$C$25 / 100*AL16/ 100,1)</f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f>ROUND(IF(MIN(W16:AD16)=AVERAGE(W16:AD16), 0, IF(MIN(W16:AD16)&lt;0, MIN(W16:AD16), SMALL(W16:AD16,COUNTIF(W16:AD16,0)+1))) * 공사설정!$C$26 / 100*AM16/ 100,1)</f>
        <v>0</v>
      </c>
      <c r="AF16" s="17" t="s">
        <v>646</v>
      </c>
      <c r="AG16" s="21" t="s">
        <v>646</v>
      </c>
      <c r="AH16" s="21" t="s">
        <v>646</v>
      </c>
      <c r="AJ16" s="21" t="s">
        <v>646</v>
      </c>
      <c r="AK16" s="24">
        <v>100</v>
      </c>
      <c r="AL16" s="24">
        <v>100</v>
      </c>
      <c r="AM16" s="26">
        <v>100</v>
      </c>
    </row>
    <row r="17" spans="1:39" ht="30" customHeight="1" x14ac:dyDescent="0.3">
      <c r="A17" s="21" t="s">
        <v>178</v>
      </c>
      <c r="B17" s="21" t="s">
        <v>718</v>
      </c>
      <c r="C17" s="17" t="s">
        <v>138</v>
      </c>
      <c r="D17" s="21" t="s">
        <v>701</v>
      </c>
      <c r="E17" s="8">
        <v>0</v>
      </c>
      <c r="F17" s="21" t="s">
        <v>646</v>
      </c>
      <c r="G17" s="11">
        <v>310</v>
      </c>
      <c r="H17" s="21" t="s">
        <v>779</v>
      </c>
      <c r="I17" s="8">
        <v>0</v>
      </c>
      <c r="J17" s="21" t="s">
        <v>646</v>
      </c>
      <c r="K17" s="8">
        <v>0</v>
      </c>
      <c r="L17" s="21" t="s">
        <v>646</v>
      </c>
      <c r="M17" s="11">
        <v>310</v>
      </c>
      <c r="N17" s="21" t="s">
        <v>309</v>
      </c>
      <c r="O17" s="8">
        <v>0</v>
      </c>
      <c r="P17" s="21" t="s">
        <v>646</v>
      </c>
      <c r="Q17" s="8">
        <v>0</v>
      </c>
      <c r="R17" s="21" t="s">
        <v>646</v>
      </c>
      <c r="S17" s="8">
        <v>0</v>
      </c>
      <c r="T17" s="21" t="s">
        <v>646</v>
      </c>
      <c r="U17" s="8">
        <f>ROUND(IF(MIN(E17,G17,I17,K17,M17,O17,Q17,S17)&lt;0, MIN(E17,G17,I17,K17,M17,O17,Q17,S17), SMALL(E17:T17,COUNTIF(E17:T17,0)+1)) * 공사설정!$C$24 / 100*AK17/ 100, 1)</f>
        <v>310</v>
      </c>
      <c r="V17" s="8">
        <f>ROUND(0 * 공사설정!$C$25 / 100*AL17/ 100,1)</f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f>ROUND(IF(MIN(W17:AD17)=AVERAGE(W17:AD17), 0, IF(MIN(W17:AD17)&lt;0, MIN(W17:AD17), SMALL(W17:AD17,COUNTIF(W17:AD17,0)+1))) * 공사설정!$C$26 / 100*AM17/ 100,1)</f>
        <v>0</v>
      </c>
      <c r="AF17" s="17" t="s">
        <v>646</v>
      </c>
      <c r="AG17" s="21" t="s">
        <v>646</v>
      </c>
      <c r="AH17" s="21" t="s">
        <v>646</v>
      </c>
      <c r="AJ17" s="21" t="s">
        <v>646</v>
      </c>
      <c r="AK17" s="24">
        <v>100</v>
      </c>
      <c r="AL17" s="24">
        <v>100</v>
      </c>
      <c r="AM17" s="26">
        <v>100</v>
      </c>
    </row>
    <row r="18" spans="1:39" ht="30" customHeight="1" x14ac:dyDescent="0.3">
      <c r="A18" s="21" t="s">
        <v>784</v>
      </c>
      <c r="B18" s="21" t="s">
        <v>718</v>
      </c>
      <c r="C18" s="17" t="s">
        <v>149</v>
      </c>
      <c r="D18" s="21" t="s">
        <v>701</v>
      </c>
      <c r="E18" s="8">
        <v>0</v>
      </c>
      <c r="F18" s="21" t="s">
        <v>646</v>
      </c>
      <c r="G18" s="8">
        <v>0</v>
      </c>
      <c r="H18" s="21" t="s">
        <v>646</v>
      </c>
      <c r="I18" s="8">
        <v>0</v>
      </c>
      <c r="J18" s="21" t="s">
        <v>646</v>
      </c>
      <c r="K18" s="8">
        <v>0</v>
      </c>
      <c r="L18" s="21" t="s">
        <v>646</v>
      </c>
      <c r="M18" s="8">
        <v>0</v>
      </c>
      <c r="N18" s="21" t="s">
        <v>646</v>
      </c>
      <c r="O18" s="11">
        <v>111</v>
      </c>
      <c r="P18" s="21" t="s">
        <v>646</v>
      </c>
      <c r="Q18" s="8">
        <v>0</v>
      </c>
      <c r="R18" s="21" t="s">
        <v>646</v>
      </c>
      <c r="S18" s="8">
        <v>0</v>
      </c>
      <c r="T18" s="21" t="s">
        <v>646</v>
      </c>
      <c r="U18" s="8">
        <f>ROUND(IF(MIN(E18,G18,I18,K18,M18,O18,Q18,S18)&lt;0, MIN(E18,G18,I18,K18,M18,O18,Q18,S18), SMALL(E18:T18,COUNTIF(E18:T18,0)+1)) * 공사설정!$C$24 / 100*AK18/ 100, 1)</f>
        <v>111</v>
      </c>
      <c r="V18" s="8">
        <f>ROUND(0 * 공사설정!$C$25 / 100*AL18/ 100,1)</f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f>ROUND(IF(MIN(W18:AD18)=AVERAGE(W18:AD18), 0, IF(MIN(W18:AD18)&lt;0, MIN(W18:AD18), SMALL(W18:AD18,COUNTIF(W18:AD18,0)+1))) * 공사설정!$C$26 / 100*AM18/ 100,1)</f>
        <v>0</v>
      </c>
      <c r="AF18" s="17" t="s">
        <v>646</v>
      </c>
      <c r="AG18" s="21" t="s">
        <v>646</v>
      </c>
      <c r="AH18" s="21" t="s">
        <v>646</v>
      </c>
      <c r="AJ18" s="21" t="s">
        <v>646</v>
      </c>
      <c r="AK18" s="24">
        <v>100</v>
      </c>
      <c r="AL18" s="24">
        <v>100</v>
      </c>
      <c r="AM18" s="26">
        <v>100</v>
      </c>
    </row>
    <row r="19" spans="1:39" ht="30" customHeight="1" x14ac:dyDescent="0.3">
      <c r="A19" s="21" t="s">
        <v>23</v>
      </c>
      <c r="B19" s="21" t="s">
        <v>718</v>
      </c>
      <c r="C19" s="17" t="s">
        <v>531</v>
      </c>
      <c r="D19" s="21" t="s">
        <v>701</v>
      </c>
      <c r="E19" s="8">
        <v>0</v>
      </c>
      <c r="F19" s="21" t="s">
        <v>646</v>
      </c>
      <c r="G19" s="8">
        <v>0</v>
      </c>
      <c r="H19" s="21" t="s">
        <v>646</v>
      </c>
      <c r="I19" s="8">
        <v>0</v>
      </c>
      <c r="J19" s="21" t="s">
        <v>646</v>
      </c>
      <c r="K19" s="8">
        <v>0</v>
      </c>
      <c r="L19" s="21" t="s">
        <v>646</v>
      </c>
      <c r="M19" s="8">
        <v>0</v>
      </c>
      <c r="N19" s="21" t="s">
        <v>646</v>
      </c>
      <c r="O19" s="11">
        <v>107</v>
      </c>
      <c r="P19" s="21" t="s">
        <v>646</v>
      </c>
      <c r="Q19" s="8">
        <v>0</v>
      </c>
      <c r="R19" s="21" t="s">
        <v>646</v>
      </c>
      <c r="S19" s="8">
        <v>0</v>
      </c>
      <c r="T19" s="21" t="s">
        <v>646</v>
      </c>
      <c r="U19" s="8">
        <f>ROUND(IF(MIN(E19,G19,I19,K19,M19,O19,Q19,S19)&lt;0, MIN(E19,G19,I19,K19,M19,O19,Q19,S19), SMALL(E19:T19,COUNTIF(E19:T19,0)+1)) * 공사설정!$C$24 / 100*AK19/ 100, 1)</f>
        <v>107</v>
      </c>
      <c r="V19" s="8">
        <f>ROUND(0 * 공사설정!$C$25 / 100*AL19/ 100,1)</f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f>ROUND(IF(MIN(W19:AD19)=AVERAGE(W19:AD19), 0, IF(MIN(W19:AD19)&lt;0, MIN(W19:AD19), SMALL(W19:AD19,COUNTIF(W19:AD19,0)+1))) * 공사설정!$C$26 / 100*AM19/ 100,1)</f>
        <v>0</v>
      </c>
      <c r="AF19" s="17" t="s">
        <v>646</v>
      </c>
      <c r="AG19" s="21" t="s">
        <v>646</v>
      </c>
      <c r="AH19" s="21" t="s">
        <v>646</v>
      </c>
      <c r="AJ19" s="21" t="s">
        <v>646</v>
      </c>
      <c r="AK19" s="24">
        <v>100</v>
      </c>
      <c r="AL19" s="24">
        <v>100</v>
      </c>
      <c r="AM19" s="26">
        <v>100</v>
      </c>
    </row>
    <row r="20" spans="1:39" ht="30" customHeight="1" x14ac:dyDescent="0.3">
      <c r="A20" s="21" t="s">
        <v>185</v>
      </c>
      <c r="B20" s="21" t="s">
        <v>718</v>
      </c>
      <c r="C20" s="17" t="s">
        <v>391</v>
      </c>
      <c r="D20" s="21" t="s">
        <v>691</v>
      </c>
      <c r="E20" s="8">
        <v>0</v>
      </c>
      <c r="F20" s="21" t="s">
        <v>646</v>
      </c>
      <c r="G20" s="11">
        <v>1160</v>
      </c>
      <c r="H20" s="21" t="s">
        <v>779</v>
      </c>
      <c r="I20" s="11">
        <v>1160</v>
      </c>
      <c r="J20" s="21" t="s">
        <v>90</v>
      </c>
      <c r="K20" s="8">
        <v>0</v>
      </c>
      <c r="L20" s="21" t="s">
        <v>646</v>
      </c>
      <c r="M20" s="8">
        <v>0</v>
      </c>
      <c r="N20" s="21" t="s">
        <v>646</v>
      </c>
      <c r="O20" s="8">
        <v>0</v>
      </c>
      <c r="P20" s="21" t="s">
        <v>646</v>
      </c>
      <c r="Q20" s="8">
        <v>0</v>
      </c>
      <c r="R20" s="21" t="s">
        <v>646</v>
      </c>
      <c r="S20" s="8">
        <v>0</v>
      </c>
      <c r="T20" s="21" t="s">
        <v>646</v>
      </c>
      <c r="U20" s="8">
        <f>ROUND(IF(MIN(E20,G20,I20,K20,M20,O20,Q20,S20)&lt;0, MIN(E20,G20,I20,K20,M20,O20,Q20,S20), SMALL(E20:T20,COUNTIF(E20:T20,0)+1)) * 공사설정!$C$24 / 100*AK20/ 100, 1)</f>
        <v>1160</v>
      </c>
      <c r="V20" s="8">
        <f>ROUND(0 * 공사설정!$C$25 / 100*AL20/ 100,1)</f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f>ROUND(IF(MIN(W20:AD20)=AVERAGE(W20:AD20), 0, IF(MIN(W20:AD20)&lt;0, MIN(W20:AD20), SMALL(W20:AD20,COUNTIF(W20:AD20,0)+1))) * 공사설정!$C$26 / 100*AM20/ 100,1)</f>
        <v>0</v>
      </c>
      <c r="AF20" s="17" t="s">
        <v>646</v>
      </c>
      <c r="AG20" s="21" t="s">
        <v>646</v>
      </c>
      <c r="AH20" s="21" t="s">
        <v>646</v>
      </c>
      <c r="AJ20" s="21" t="s">
        <v>646</v>
      </c>
      <c r="AK20" s="24">
        <v>100</v>
      </c>
      <c r="AL20" s="24">
        <v>100</v>
      </c>
      <c r="AM20" s="26">
        <v>100</v>
      </c>
    </row>
    <row r="21" spans="1:39" ht="30" customHeight="1" x14ac:dyDescent="0.3">
      <c r="A21" s="21" t="s">
        <v>642</v>
      </c>
      <c r="B21" s="21" t="s">
        <v>718</v>
      </c>
      <c r="C21" s="17" t="s">
        <v>384</v>
      </c>
      <c r="D21" s="21" t="s">
        <v>691</v>
      </c>
      <c r="E21" s="8">
        <v>0</v>
      </c>
      <c r="F21" s="21" t="s">
        <v>646</v>
      </c>
      <c r="G21" s="8">
        <v>0</v>
      </c>
      <c r="H21" s="21" t="s">
        <v>646</v>
      </c>
      <c r="I21" s="8">
        <v>0</v>
      </c>
      <c r="J21" s="21" t="s">
        <v>646</v>
      </c>
      <c r="K21" s="8">
        <v>0</v>
      </c>
      <c r="L21" s="21" t="s">
        <v>646</v>
      </c>
      <c r="M21" s="8">
        <v>0</v>
      </c>
      <c r="N21" s="21" t="s">
        <v>646</v>
      </c>
      <c r="O21" s="11">
        <v>80</v>
      </c>
      <c r="P21" s="21" t="s">
        <v>646</v>
      </c>
      <c r="Q21" s="8">
        <v>0</v>
      </c>
      <c r="R21" s="21" t="s">
        <v>646</v>
      </c>
      <c r="S21" s="8">
        <v>0</v>
      </c>
      <c r="T21" s="21" t="s">
        <v>646</v>
      </c>
      <c r="U21" s="8">
        <f>ROUND(IF(MIN(E21,G21,I21,K21,M21,O21,Q21,S21)&lt;0, MIN(E21,G21,I21,K21,M21,O21,Q21,S21), SMALL(E21:T21,COUNTIF(E21:T21,0)+1)) * 공사설정!$C$24 / 100*AK21/ 100, 1)</f>
        <v>80</v>
      </c>
      <c r="V21" s="8">
        <f>ROUND(0 * 공사설정!$C$25 / 100*AL21/ 100,1)</f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f>ROUND(IF(MIN(W21:AD21)=AVERAGE(W21:AD21), 0, IF(MIN(W21:AD21)&lt;0, MIN(W21:AD21), SMALL(W21:AD21,COUNTIF(W21:AD21,0)+1))) * 공사설정!$C$26 / 100*AM21/ 100,1)</f>
        <v>0</v>
      </c>
      <c r="AF21" s="17" t="s">
        <v>646</v>
      </c>
      <c r="AG21" s="21" t="s">
        <v>646</v>
      </c>
      <c r="AH21" s="21" t="s">
        <v>646</v>
      </c>
      <c r="AJ21" s="21" t="s">
        <v>646</v>
      </c>
      <c r="AK21" s="24">
        <v>100</v>
      </c>
      <c r="AL21" s="24">
        <v>100</v>
      </c>
      <c r="AM21" s="26">
        <v>100</v>
      </c>
    </row>
    <row r="22" spans="1:39" ht="30" customHeight="1" x14ac:dyDescent="0.3">
      <c r="A22" s="21" t="s">
        <v>172</v>
      </c>
      <c r="B22" s="21" t="s">
        <v>718</v>
      </c>
      <c r="C22" s="17" t="s">
        <v>578</v>
      </c>
      <c r="D22" s="21" t="s">
        <v>691</v>
      </c>
      <c r="E22" s="8">
        <v>0</v>
      </c>
      <c r="F22" s="21" t="s">
        <v>646</v>
      </c>
      <c r="G22" s="8">
        <v>10.4</v>
      </c>
      <c r="H22" s="21" t="s">
        <v>525</v>
      </c>
      <c r="I22" s="8">
        <v>8.6</v>
      </c>
      <c r="J22" s="21" t="s">
        <v>188</v>
      </c>
      <c r="K22" s="8">
        <v>0</v>
      </c>
      <c r="L22" s="21" t="s">
        <v>646</v>
      </c>
      <c r="M22" s="8">
        <v>0</v>
      </c>
      <c r="N22" s="21" t="s">
        <v>646</v>
      </c>
      <c r="O22" s="8">
        <v>0</v>
      </c>
      <c r="P22" s="21" t="s">
        <v>646</v>
      </c>
      <c r="Q22" s="8">
        <v>0</v>
      </c>
      <c r="R22" s="21" t="s">
        <v>646</v>
      </c>
      <c r="S22" s="8">
        <v>0</v>
      </c>
      <c r="T22" s="21" t="s">
        <v>646</v>
      </c>
      <c r="U22" s="8">
        <f>ROUND(IF(MIN(E22,G22,I22,K22,M22,O22,Q22,S22)&lt;0, MIN(E22,G22,I22,K22,M22,O22,Q22,S22), SMALL(E22:T22,COUNTIF(E22:T22,0)+1)) * 공사설정!$C$24 / 100*AK22/ 100, 1)</f>
        <v>8.6</v>
      </c>
      <c r="V22" s="8">
        <f>ROUND(0 * 공사설정!$C$25 / 100*AL22/ 100,1)</f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f>ROUND(IF(MIN(W22:AD22)=AVERAGE(W22:AD22), 0, IF(MIN(W22:AD22)&lt;0, MIN(W22:AD22), SMALL(W22:AD22,COUNTIF(W22:AD22,0)+1))) * 공사설정!$C$26 / 100*AM22/ 100,1)</f>
        <v>0</v>
      </c>
      <c r="AF22" s="17" t="s">
        <v>646</v>
      </c>
      <c r="AG22" s="21" t="s">
        <v>646</v>
      </c>
      <c r="AH22" s="21" t="s">
        <v>646</v>
      </c>
      <c r="AJ22" s="21" t="s">
        <v>646</v>
      </c>
      <c r="AK22" s="24">
        <v>100</v>
      </c>
      <c r="AL22" s="24">
        <v>100</v>
      </c>
      <c r="AM22" s="26">
        <v>100</v>
      </c>
    </row>
    <row r="23" spans="1:39" ht="30" customHeight="1" x14ac:dyDescent="0.3">
      <c r="A23" s="21" t="s">
        <v>260</v>
      </c>
      <c r="B23" s="21" t="s">
        <v>766</v>
      </c>
      <c r="C23" s="17" t="s">
        <v>415</v>
      </c>
      <c r="D23" s="21" t="s">
        <v>128</v>
      </c>
      <c r="E23" s="8">
        <v>0</v>
      </c>
      <c r="F23" s="21" t="s">
        <v>646</v>
      </c>
      <c r="G23" s="11">
        <v>19000</v>
      </c>
      <c r="H23" s="21" t="s">
        <v>485</v>
      </c>
      <c r="I23" s="8">
        <v>0</v>
      </c>
      <c r="J23" s="21" t="s">
        <v>646</v>
      </c>
      <c r="K23" s="11">
        <v>21500</v>
      </c>
      <c r="L23" s="21" t="s">
        <v>473</v>
      </c>
      <c r="M23" s="8">
        <v>0</v>
      </c>
      <c r="N23" s="21" t="s">
        <v>646</v>
      </c>
      <c r="O23" s="8">
        <v>0</v>
      </c>
      <c r="P23" s="21" t="s">
        <v>646</v>
      </c>
      <c r="Q23" s="8">
        <v>0</v>
      </c>
      <c r="R23" s="21" t="s">
        <v>646</v>
      </c>
      <c r="S23" s="8">
        <v>0</v>
      </c>
      <c r="T23" s="21" t="s">
        <v>646</v>
      </c>
      <c r="U23" s="8">
        <f>ROUND(IF(MIN(E23,G23,I23,K23,M23,O23,Q23,S23)&lt;0, MIN(E23,G23,I23,K23,M23,O23,Q23,S23), SMALL(E23:T23,COUNTIF(E23:T23,0)+1)) * 공사설정!$C$24 / 100*AK23/ 100, 1)</f>
        <v>19000</v>
      </c>
      <c r="V23" s="8">
        <f>ROUND(0 * 공사설정!$C$25 / 100*AL23/ 100,1)</f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f>ROUND(IF(MIN(W23:AD23)=AVERAGE(W23:AD23), 0, IF(MIN(W23:AD23)&lt;0, MIN(W23:AD23), SMALL(W23:AD23,COUNTIF(W23:AD23,0)+1))) * 공사설정!$C$26 / 100*AM23/ 100,1)</f>
        <v>0</v>
      </c>
      <c r="AF23" s="17" t="s">
        <v>646</v>
      </c>
      <c r="AG23" s="21" t="s">
        <v>646</v>
      </c>
      <c r="AH23" s="21" t="s">
        <v>646</v>
      </c>
      <c r="AJ23" s="21" t="s">
        <v>646</v>
      </c>
      <c r="AK23" s="24">
        <v>100</v>
      </c>
      <c r="AL23" s="24">
        <v>100</v>
      </c>
      <c r="AM23" s="26">
        <v>100</v>
      </c>
    </row>
    <row r="24" spans="1:39" ht="30" customHeight="1" x14ac:dyDescent="0.3">
      <c r="A24" s="21" t="s">
        <v>699</v>
      </c>
      <c r="B24" s="21" t="s">
        <v>598</v>
      </c>
      <c r="C24" s="17" t="s">
        <v>40</v>
      </c>
      <c r="D24" s="21" t="s">
        <v>128</v>
      </c>
      <c r="E24" s="8">
        <v>0</v>
      </c>
      <c r="F24" s="21" t="s">
        <v>646</v>
      </c>
      <c r="G24" s="11">
        <v>165000</v>
      </c>
      <c r="H24" s="21" t="s">
        <v>670</v>
      </c>
      <c r="I24" s="8">
        <v>0</v>
      </c>
      <c r="J24" s="21" t="s">
        <v>646</v>
      </c>
      <c r="K24" s="8">
        <v>0</v>
      </c>
      <c r="L24" s="21" t="s">
        <v>646</v>
      </c>
      <c r="M24" s="8">
        <v>0</v>
      </c>
      <c r="N24" s="21" t="s">
        <v>646</v>
      </c>
      <c r="O24" s="8">
        <v>0</v>
      </c>
      <c r="P24" s="21" t="s">
        <v>646</v>
      </c>
      <c r="Q24" s="8">
        <v>0</v>
      </c>
      <c r="R24" s="21" t="s">
        <v>646</v>
      </c>
      <c r="S24" s="8">
        <v>0</v>
      </c>
      <c r="T24" s="21" t="s">
        <v>646</v>
      </c>
      <c r="U24" s="8">
        <f>ROUND(IF(MIN(E24,G24,I24,K24,M24,O24,Q24,S24)&lt;0, MIN(E24,G24,I24,K24,M24,O24,Q24,S24), SMALL(E24:T24,COUNTIF(E24:T24,0)+1)) * 공사설정!$C$24 / 100*AK24/ 100, 1)</f>
        <v>165000</v>
      </c>
      <c r="V24" s="8">
        <f>ROUND(0 * 공사설정!$C$25 / 100*AL24/ 100,1)</f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f>ROUND(IF(MIN(W24:AD24)=AVERAGE(W24:AD24), 0, IF(MIN(W24:AD24)&lt;0, MIN(W24:AD24), SMALL(W24:AD24,COUNTIF(W24:AD24,0)+1))) * 공사설정!$C$26 / 100*AM24/ 100,1)</f>
        <v>0</v>
      </c>
      <c r="AF24" s="17" t="s">
        <v>513</v>
      </c>
      <c r="AG24" s="21" t="s">
        <v>646</v>
      </c>
      <c r="AH24" s="21" t="s">
        <v>646</v>
      </c>
      <c r="AJ24" s="21" t="s">
        <v>646</v>
      </c>
      <c r="AK24" s="24">
        <v>100</v>
      </c>
      <c r="AL24" s="24">
        <v>100</v>
      </c>
      <c r="AM24" s="26">
        <v>100</v>
      </c>
    </row>
    <row r="25" spans="1:39" ht="30" customHeight="1" x14ac:dyDescent="0.3">
      <c r="A25" s="21" t="s">
        <v>424</v>
      </c>
      <c r="B25" s="21" t="s">
        <v>488</v>
      </c>
      <c r="C25" s="17" t="s">
        <v>588</v>
      </c>
      <c r="D25" s="21" t="s">
        <v>107</v>
      </c>
      <c r="E25" s="11">
        <v>1387</v>
      </c>
      <c r="F25" s="21" t="s">
        <v>646</v>
      </c>
      <c r="G25" s="11">
        <v>1460</v>
      </c>
      <c r="H25" s="21" t="s">
        <v>361</v>
      </c>
      <c r="I25" s="8">
        <v>1850.5</v>
      </c>
      <c r="J25" s="21" t="s">
        <v>212</v>
      </c>
      <c r="K25" s="16">
        <v>1651.74</v>
      </c>
      <c r="L25" s="21" t="s">
        <v>251</v>
      </c>
      <c r="M25" s="11">
        <v>1870</v>
      </c>
      <c r="N25" s="21" t="s">
        <v>68</v>
      </c>
      <c r="O25" s="8">
        <v>0</v>
      </c>
      <c r="P25" s="21" t="s">
        <v>646</v>
      </c>
      <c r="Q25" s="8">
        <v>0</v>
      </c>
      <c r="R25" s="21" t="s">
        <v>646</v>
      </c>
      <c r="S25" s="8">
        <v>0</v>
      </c>
      <c r="T25" s="21" t="s">
        <v>646</v>
      </c>
      <c r="U25" s="8">
        <f>ROUND(IF(MIN(E25,G25,I25,K25,M25,O25,Q25,S25)&lt;0, MIN(E25,G25,I25,K25,M25,O25,Q25,S25), SMALL(E25:T25,COUNTIF(E25:T25,0)+1)) * 공사설정!$C$24 / 100*AK25/ 100, 1)</f>
        <v>1387</v>
      </c>
      <c r="V25" s="8">
        <f>ROUND(0 * 공사설정!$C$25 / 100*AL25/ 100,1)</f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f>ROUND(IF(MIN(W25:AD25)=AVERAGE(W25:AD25), 0, IF(MIN(W25:AD25)&lt;0, MIN(W25:AD25), SMALL(W25:AD25,COUNTIF(W25:AD25,0)+1))) * 공사설정!$C$26 / 100*AM25/ 100,1)</f>
        <v>0</v>
      </c>
      <c r="AF25" s="17" t="s">
        <v>646</v>
      </c>
      <c r="AG25" s="21" t="s">
        <v>646</v>
      </c>
      <c r="AH25" s="21" t="s">
        <v>646</v>
      </c>
      <c r="AJ25" s="21" t="s">
        <v>646</v>
      </c>
      <c r="AK25" s="24">
        <v>100</v>
      </c>
      <c r="AL25" s="24">
        <v>100</v>
      </c>
      <c r="AM25" s="26">
        <v>100</v>
      </c>
    </row>
    <row r="26" spans="1:39" ht="30" customHeight="1" x14ac:dyDescent="0.3">
      <c r="A26" s="21" t="s">
        <v>443</v>
      </c>
      <c r="B26" s="21" t="s">
        <v>177</v>
      </c>
      <c r="C26" s="17" t="s">
        <v>280</v>
      </c>
      <c r="D26" s="21" t="s">
        <v>691</v>
      </c>
      <c r="E26" s="8">
        <v>0</v>
      </c>
      <c r="F26" s="21" t="s">
        <v>646</v>
      </c>
      <c r="G26" s="8">
        <v>0</v>
      </c>
      <c r="H26" s="21" t="s">
        <v>646</v>
      </c>
      <c r="I26" s="8">
        <v>0</v>
      </c>
      <c r="J26" s="21" t="s">
        <v>646</v>
      </c>
      <c r="K26" s="8">
        <v>0</v>
      </c>
      <c r="L26" s="21" t="s">
        <v>646</v>
      </c>
      <c r="M26" s="8">
        <v>0</v>
      </c>
      <c r="N26" s="21" t="s">
        <v>646</v>
      </c>
      <c r="O26" s="8">
        <v>0</v>
      </c>
      <c r="P26" s="21" t="s">
        <v>646</v>
      </c>
      <c r="Q26" s="8">
        <v>0</v>
      </c>
      <c r="R26" s="21" t="s">
        <v>646</v>
      </c>
      <c r="S26" s="8">
        <v>0</v>
      </c>
      <c r="T26" s="21" t="s">
        <v>646</v>
      </c>
      <c r="U26" s="8">
        <f>0*AK26/ 100</f>
        <v>0</v>
      </c>
      <c r="V26" s="8">
        <f>ROUND(0 * 공사설정!$C$25 / 100*AL26/ 100,1)</f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f>ROUND(IF(MIN(W26:AD26)=AVERAGE(W26:AD26), 0, IF(MIN(W26:AD26)&lt;0, MIN(W26:AD26), SMALL(W26:AD26,COUNTIF(W26:AD26,0)+1))) * 공사설정!$C$26 / 100*AM26/ 100,1)</f>
        <v>0</v>
      </c>
      <c r="AF26" s="17" t="s">
        <v>646</v>
      </c>
      <c r="AG26" s="21" t="s">
        <v>646</v>
      </c>
      <c r="AH26" s="21" t="s">
        <v>646</v>
      </c>
      <c r="AJ26" s="21" t="s">
        <v>646</v>
      </c>
      <c r="AK26" s="24">
        <v>100</v>
      </c>
      <c r="AL26" s="24">
        <v>100</v>
      </c>
      <c r="AM26" s="26">
        <v>100</v>
      </c>
    </row>
    <row r="27" spans="1:39" ht="30" customHeight="1" x14ac:dyDescent="0.3">
      <c r="A27" s="21" t="s">
        <v>375</v>
      </c>
      <c r="B27" s="21" t="s">
        <v>332</v>
      </c>
      <c r="C27" s="17" t="s">
        <v>413</v>
      </c>
      <c r="D27" s="21" t="s">
        <v>741</v>
      </c>
      <c r="E27" s="11">
        <v>323</v>
      </c>
      <c r="F27" s="21" t="s">
        <v>646</v>
      </c>
      <c r="G27" s="11">
        <v>530</v>
      </c>
      <c r="H27" s="21" t="s">
        <v>170</v>
      </c>
      <c r="I27" s="11">
        <v>385</v>
      </c>
      <c r="J27" s="21" t="s">
        <v>368</v>
      </c>
      <c r="K27" s="11">
        <v>360</v>
      </c>
      <c r="L27" s="21" t="s">
        <v>399</v>
      </c>
      <c r="M27" s="11">
        <v>385</v>
      </c>
      <c r="N27" s="21" t="s">
        <v>479</v>
      </c>
      <c r="O27" s="8">
        <v>0</v>
      </c>
      <c r="P27" s="21" t="s">
        <v>646</v>
      </c>
      <c r="Q27" s="8">
        <v>0</v>
      </c>
      <c r="R27" s="21" t="s">
        <v>646</v>
      </c>
      <c r="S27" s="8">
        <v>0</v>
      </c>
      <c r="T27" s="21" t="s">
        <v>646</v>
      </c>
      <c r="U27" s="8">
        <f>ROUND(IF(MIN(E27,G27,I27,K27,M27,O27,Q27,S27)&lt;0, MIN(E27,G27,I27,K27,M27,O27,Q27,S27), SMALL(E27:T27,COUNTIF(E27:T27,0)+1)) * 공사설정!$C$24 / 100*AK27/ 100, 1)</f>
        <v>323</v>
      </c>
      <c r="V27" s="8">
        <f>ROUND(0 * 공사설정!$C$25 / 100*AL27/ 100,1)</f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f>ROUND(IF(MIN(W27:AD27)=AVERAGE(W27:AD27), 0, IF(MIN(W27:AD27)&lt;0, MIN(W27:AD27), SMALL(W27:AD27,COUNTIF(W27:AD27,0)+1))) * 공사설정!$C$26 / 100*AM27/ 100,1)</f>
        <v>0</v>
      </c>
      <c r="AF27" s="17" t="s">
        <v>646</v>
      </c>
      <c r="AG27" s="21" t="s">
        <v>646</v>
      </c>
      <c r="AH27" s="21" t="s">
        <v>646</v>
      </c>
      <c r="AJ27" s="21" t="s">
        <v>646</v>
      </c>
      <c r="AK27" s="24">
        <v>100</v>
      </c>
      <c r="AL27" s="24">
        <v>100</v>
      </c>
      <c r="AM27" s="26">
        <v>100</v>
      </c>
    </row>
    <row r="28" spans="1:39" ht="30" customHeight="1" x14ac:dyDescent="0.3">
      <c r="A28" s="21" t="s">
        <v>257</v>
      </c>
      <c r="B28" s="21" t="s">
        <v>572</v>
      </c>
      <c r="C28" s="17" t="s">
        <v>707</v>
      </c>
      <c r="D28" s="21" t="s">
        <v>107</v>
      </c>
      <c r="E28" s="11">
        <v>2520</v>
      </c>
      <c r="F28" s="21" t="s">
        <v>646</v>
      </c>
      <c r="G28" s="8">
        <v>0</v>
      </c>
      <c r="H28" s="21" t="s">
        <v>646</v>
      </c>
      <c r="I28" s="8">
        <v>0</v>
      </c>
      <c r="J28" s="21" t="s">
        <v>646</v>
      </c>
      <c r="K28" s="11">
        <v>2700</v>
      </c>
      <c r="L28" s="21" t="s">
        <v>681</v>
      </c>
      <c r="M28" s="8">
        <v>0</v>
      </c>
      <c r="N28" s="21" t="s">
        <v>646</v>
      </c>
      <c r="O28" s="8">
        <v>0</v>
      </c>
      <c r="P28" s="21" t="s">
        <v>646</v>
      </c>
      <c r="Q28" s="8">
        <v>0</v>
      </c>
      <c r="R28" s="21" t="s">
        <v>646</v>
      </c>
      <c r="S28" s="8">
        <v>0</v>
      </c>
      <c r="T28" s="21" t="s">
        <v>646</v>
      </c>
      <c r="U28" s="8">
        <f>ROUND(IF(MIN(E28,G28,I28,K28,M28,O28,Q28,S28)&lt;0, MIN(E28,G28,I28,K28,M28,O28,Q28,S28), SMALL(E28:T28,COUNTIF(E28:T28,0)+1)) * 공사설정!$C$24 / 100*AK28/ 100, 1)</f>
        <v>2520</v>
      </c>
      <c r="V28" s="8">
        <f>ROUND(0 * 공사설정!$C$25 / 100*AL28/ 100,1)</f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f>ROUND(IF(MIN(W28:AD28)=AVERAGE(W28:AD28), 0, IF(MIN(W28:AD28)&lt;0, MIN(W28:AD28), SMALL(W28:AD28,COUNTIF(W28:AD28,0)+1))) * 공사설정!$C$26 / 100*AM28/ 100,1)</f>
        <v>0</v>
      </c>
      <c r="AF28" s="17" t="s">
        <v>646</v>
      </c>
      <c r="AG28" s="21" t="s">
        <v>646</v>
      </c>
      <c r="AH28" s="21" t="s">
        <v>646</v>
      </c>
      <c r="AJ28" s="21" t="s">
        <v>646</v>
      </c>
      <c r="AK28" s="24">
        <v>100</v>
      </c>
      <c r="AL28" s="24">
        <v>100</v>
      </c>
      <c r="AM28" s="26">
        <v>100</v>
      </c>
    </row>
    <row r="29" spans="1:39" ht="30" customHeight="1" x14ac:dyDescent="0.3">
      <c r="A29" s="21" t="s">
        <v>662</v>
      </c>
      <c r="B29" s="21" t="s">
        <v>262</v>
      </c>
      <c r="C29" s="17" t="s">
        <v>161</v>
      </c>
      <c r="D29" s="21" t="s">
        <v>533</v>
      </c>
      <c r="E29" s="11">
        <v>4845</v>
      </c>
      <c r="F29" s="21" t="s">
        <v>646</v>
      </c>
      <c r="G29" s="8">
        <v>4844.3999999999996</v>
      </c>
      <c r="H29" s="21" t="s">
        <v>705</v>
      </c>
      <c r="I29" s="16">
        <v>4849.16</v>
      </c>
      <c r="J29" s="21" t="s">
        <v>704</v>
      </c>
      <c r="K29" s="11">
        <v>4849</v>
      </c>
      <c r="L29" s="21" t="s">
        <v>45</v>
      </c>
      <c r="M29" s="16">
        <v>4849.17</v>
      </c>
      <c r="N29" s="21" t="s">
        <v>344</v>
      </c>
      <c r="O29" s="8">
        <v>0</v>
      </c>
      <c r="P29" s="21" t="s">
        <v>646</v>
      </c>
      <c r="Q29" s="8">
        <v>0</v>
      </c>
      <c r="R29" s="21" t="s">
        <v>646</v>
      </c>
      <c r="S29" s="8">
        <v>0</v>
      </c>
      <c r="T29" s="21" t="s">
        <v>646</v>
      </c>
      <c r="U29" s="8">
        <f>ROUND(IF(MIN(E29,G29,I29,K29,M29,O29,Q29,S29)&lt;0, MIN(E29,G29,I29,K29,M29,O29,Q29,S29), SMALL(E29:T29,COUNTIF(E29:T29,0)+1)) * 공사설정!$C$24 / 100*AK29/ 100, 1)</f>
        <v>4844.3999999999996</v>
      </c>
      <c r="V29" s="8">
        <f>ROUND(0 * 공사설정!$C$25 / 100*AL29/ 100,1)</f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f>ROUND(IF(MIN(W29:AD29)=AVERAGE(W29:AD29), 0, IF(MIN(W29:AD29)&lt;0, MIN(W29:AD29), SMALL(W29:AD29,COUNTIF(W29:AD29,0)+1))) * 공사설정!$C$26 / 100*AM29/ 100,1)</f>
        <v>0</v>
      </c>
      <c r="AF29" s="17" t="s">
        <v>339</v>
      </c>
      <c r="AG29" s="21" t="s">
        <v>646</v>
      </c>
      <c r="AH29" s="21" t="s">
        <v>646</v>
      </c>
      <c r="AJ29" s="21" t="s">
        <v>646</v>
      </c>
      <c r="AK29" s="24">
        <v>100</v>
      </c>
      <c r="AL29" s="24">
        <v>100</v>
      </c>
      <c r="AM29" s="26">
        <v>100</v>
      </c>
    </row>
    <row r="30" spans="1:39" ht="30" customHeight="1" x14ac:dyDescent="0.3">
      <c r="A30" s="21" t="s">
        <v>439</v>
      </c>
      <c r="B30" s="21" t="s">
        <v>262</v>
      </c>
      <c r="C30" s="17" t="s">
        <v>306</v>
      </c>
      <c r="D30" s="21" t="s">
        <v>107</v>
      </c>
      <c r="E30" s="12">
        <v>2306.4499999999998</v>
      </c>
      <c r="F30" s="21" t="s">
        <v>646</v>
      </c>
      <c r="G30" s="12">
        <v>4844.4399999999996</v>
      </c>
      <c r="H30" s="21" t="s">
        <v>705</v>
      </c>
      <c r="I30" s="8">
        <v>0</v>
      </c>
      <c r="J30" s="21" t="s">
        <v>646</v>
      </c>
      <c r="K30" s="11">
        <v>4849</v>
      </c>
      <c r="L30" s="21" t="s">
        <v>45</v>
      </c>
      <c r="M30" s="16">
        <v>4849.16</v>
      </c>
      <c r="N30" s="21" t="s">
        <v>344</v>
      </c>
      <c r="O30" s="8">
        <v>0</v>
      </c>
      <c r="P30" s="21" t="s">
        <v>646</v>
      </c>
      <c r="Q30" s="8">
        <v>0</v>
      </c>
      <c r="R30" s="21" t="s">
        <v>646</v>
      </c>
      <c r="S30" s="8">
        <v>0</v>
      </c>
      <c r="T30" s="21" t="s">
        <v>646</v>
      </c>
      <c r="U30" s="8">
        <f>ROUND(IF(MIN(E30,G30,I30,K30,M30,O30,Q30,S30)&lt;0, MIN(E30,G30,I30,K30,M30,O30,Q30,S30), SMALL(E30:T30,COUNTIF(E30:T30,0)+1)) * 공사설정!$C$24 / 100*AK30/ 100, 1)</f>
        <v>2306.5</v>
      </c>
      <c r="V30" s="8">
        <f>ROUND(0 * 공사설정!$C$25 / 100*AL30/ 100,1)</f>
        <v>0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f>ROUND(IF(MIN(W30:AD30)=AVERAGE(W30:AD30), 0, IF(MIN(W30:AD30)&lt;0, MIN(W30:AD30), SMALL(W30:AD30,COUNTIF(W30:AD30,0)+1))) * 공사설정!$C$26 / 100*AM30/ 100,1)</f>
        <v>0</v>
      </c>
      <c r="AF30" s="17" t="s">
        <v>339</v>
      </c>
      <c r="AG30" s="21" t="s">
        <v>646</v>
      </c>
      <c r="AH30" s="21" t="s">
        <v>646</v>
      </c>
      <c r="AJ30" s="21" t="s">
        <v>646</v>
      </c>
      <c r="AK30" s="24">
        <v>100</v>
      </c>
      <c r="AL30" s="24">
        <v>100</v>
      </c>
      <c r="AM30" s="26">
        <v>100</v>
      </c>
    </row>
    <row r="31" spans="1:39" ht="30" customHeight="1" x14ac:dyDescent="0.3">
      <c r="A31" s="21" t="s">
        <v>626</v>
      </c>
      <c r="B31" s="21" t="s">
        <v>262</v>
      </c>
      <c r="C31" s="17" t="s">
        <v>20</v>
      </c>
      <c r="D31" s="21" t="s">
        <v>107</v>
      </c>
      <c r="E31" s="8">
        <v>3125.8</v>
      </c>
      <c r="F31" s="21" t="s">
        <v>646</v>
      </c>
      <c r="G31" s="11">
        <v>5675</v>
      </c>
      <c r="H31" s="21" t="s">
        <v>705</v>
      </c>
      <c r="I31" s="8">
        <v>0</v>
      </c>
      <c r="J31" s="21" t="s">
        <v>646</v>
      </c>
      <c r="K31" s="8">
        <v>0</v>
      </c>
      <c r="L31" s="21" t="s">
        <v>646</v>
      </c>
      <c r="M31" s="8">
        <v>0</v>
      </c>
      <c r="N31" s="21" t="s">
        <v>646</v>
      </c>
      <c r="O31" s="8">
        <v>0</v>
      </c>
      <c r="P31" s="21" t="s">
        <v>646</v>
      </c>
      <c r="Q31" s="8">
        <v>0</v>
      </c>
      <c r="R31" s="21" t="s">
        <v>646</v>
      </c>
      <c r="S31" s="8">
        <v>0</v>
      </c>
      <c r="T31" s="21" t="s">
        <v>646</v>
      </c>
      <c r="U31" s="8">
        <f>ROUND(IF(MIN(E31,G31,I31,K31,M31,O31,Q31,S31)&lt;0, MIN(E31,G31,I31,K31,M31,O31,Q31,S31), SMALL(E31:T31,COUNTIF(E31:T31,0)+1)) * 공사설정!$C$24 / 100*AK31/ 100, 1)</f>
        <v>3125.8</v>
      </c>
      <c r="V31" s="8">
        <f>ROUND(0 * 공사설정!$C$25 / 100*AL31/ 100,1)</f>
        <v>0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0</v>
      </c>
      <c r="AC31" s="8">
        <v>0</v>
      </c>
      <c r="AD31" s="8">
        <v>0</v>
      </c>
      <c r="AE31" s="8">
        <f>ROUND(IF(MIN(W31:AD31)=AVERAGE(W31:AD31), 0, IF(MIN(W31:AD31)&lt;0, MIN(W31:AD31), SMALL(W31:AD31,COUNTIF(W31:AD31,0)+1))) * 공사설정!$C$26 / 100*AM31/ 100,1)</f>
        <v>0</v>
      </c>
      <c r="AF31" s="17" t="s">
        <v>339</v>
      </c>
      <c r="AG31" s="21" t="s">
        <v>646</v>
      </c>
      <c r="AH31" s="21" t="s">
        <v>646</v>
      </c>
      <c r="AJ31" s="21" t="s">
        <v>646</v>
      </c>
      <c r="AK31" s="24">
        <v>100</v>
      </c>
      <c r="AL31" s="24">
        <v>100</v>
      </c>
      <c r="AM31" s="26">
        <v>100</v>
      </c>
    </row>
    <row r="32" spans="1:39" ht="30" customHeight="1" x14ac:dyDescent="0.3">
      <c r="A32" s="21" t="s">
        <v>516</v>
      </c>
      <c r="B32" s="21" t="s">
        <v>726</v>
      </c>
      <c r="C32" s="17" t="s">
        <v>671</v>
      </c>
      <c r="D32" s="21" t="s">
        <v>533</v>
      </c>
      <c r="E32" s="8">
        <v>0</v>
      </c>
      <c r="F32" s="21" t="s">
        <v>646</v>
      </c>
      <c r="G32" s="8">
        <v>0</v>
      </c>
      <c r="H32" s="21" t="s">
        <v>646</v>
      </c>
      <c r="I32" s="8">
        <v>0</v>
      </c>
      <c r="J32" s="21" t="s">
        <v>646</v>
      </c>
      <c r="K32" s="8">
        <v>0</v>
      </c>
      <c r="L32" s="21" t="s">
        <v>646</v>
      </c>
      <c r="M32" s="8">
        <v>0</v>
      </c>
      <c r="N32" s="21" t="s">
        <v>646</v>
      </c>
      <c r="O32" s="11">
        <v>3767</v>
      </c>
      <c r="P32" s="21" t="s">
        <v>646</v>
      </c>
      <c r="Q32" s="8">
        <v>0</v>
      </c>
      <c r="R32" s="21" t="s">
        <v>646</v>
      </c>
      <c r="S32" s="8">
        <v>0</v>
      </c>
      <c r="T32" s="21" t="s">
        <v>646</v>
      </c>
      <c r="U32" s="8">
        <f>ROUND(IF(MIN(E32,G32,I32,K32,M32,O32,Q32,S32)&lt;0, MIN(E32,G32,I32,K32,M32,O32,Q32,S32), SMALL(E32:T32,COUNTIF(E32:T32,0)+1)) * 공사설정!$C$24 / 100*AK32/ 100, 1)</f>
        <v>3767</v>
      </c>
      <c r="V32" s="8">
        <f>ROUND(0 * 공사설정!$C$25 / 100*AL32/ 100,1)</f>
        <v>0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f>ROUND(IF(MIN(W32:AD32)=AVERAGE(W32:AD32), 0, IF(MIN(W32:AD32)&lt;0, MIN(W32:AD32), SMALL(W32:AD32,COUNTIF(W32:AD32,0)+1))) * 공사설정!$C$26 / 100*AM32/ 100,1)</f>
        <v>0</v>
      </c>
      <c r="AF32" s="17" t="s">
        <v>646</v>
      </c>
      <c r="AG32" s="21" t="s">
        <v>646</v>
      </c>
      <c r="AH32" s="21" t="s">
        <v>646</v>
      </c>
      <c r="AJ32" s="21" t="s">
        <v>646</v>
      </c>
      <c r="AK32" s="24">
        <v>100</v>
      </c>
      <c r="AL32" s="24">
        <v>100</v>
      </c>
      <c r="AM32" s="26">
        <v>100</v>
      </c>
    </row>
    <row r="33" spans="1:39" ht="30" customHeight="1" x14ac:dyDescent="0.3">
      <c r="A33" s="21" t="s">
        <v>209</v>
      </c>
      <c r="B33" s="21" t="s">
        <v>249</v>
      </c>
      <c r="C33" s="17" t="s">
        <v>224</v>
      </c>
      <c r="D33" s="21" t="s">
        <v>533</v>
      </c>
      <c r="E33" s="8">
        <v>0</v>
      </c>
      <c r="F33" s="21" t="s">
        <v>646</v>
      </c>
      <c r="G33" s="8">
        <v>0</v>
      </c>
      <c r="H33" s="21" t="s">
        <v>646</v>
      </c>
      <c r="I33" s="8">
        <v>0</v>
      </c>
      <c r="J33" s="21" t="s">
        <v>646</v>
      </c>
      <c r="K33" s="8">
        <v>0</v>
      </c>
      <c r="L33" s="21" t="s">
        <v>646</v>
      </c>
      <c r="M33" s="8">
        <v>0</v>
      </c>
      <c r="N33" s="21" t="s">
        <v>646</v>
      </c>
      <c r="O33" s="8">
        <v>0</v>
      </c>
      <c r="P33" s="21" t="s">
        <v>646</v>
      </c>
      <c r="Q33" s="8">
        <v>0</v>
      </c>
      <c r="R33" s="21" t="s">
        <v>646</v>
      </c>
      <c r="S33" s="8">
        <v>0</v>
      </c>
      <c r="T33" s="21" t="s">
        <v>646</v>
      </c>
      <c r="U33" s="8">
        <f>0*AK33/ 100</f>
        <v>0</v>
      </c>
      <c r="V33" s="8">
        <f>ROUND(0 * 공사설정!$C$25 / 100*AL33/ 100,1)</f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f>ROUND(IF(MIN(W33:AD33)=AVERAGE(W33:AD33), 0, IF(MIN(W33:AD33)&lt;0, MIN(W33:AD33), SMALL(W33:AD33,COUNTIF(W33:AD33,0)+1))) * 공사설정!$C$26 / 100*AM33/ 100,1)</f>
        <v>0</v>
      </c>
      <c r="AF33" s="17" t="s">
        <v>646</v>
      </c>
      <c r="AG33" s="21" t="s">
        <v>646</v>
      </c>
      <c r="AH33" s="21" t="s">
        <v>646</v>
      </c>
      <c r="AJ33" s="21" t="s">
        <v>646</v>
      </c>
      <c r="AK33" s="24">
        <v>100</v>
      </c>
      <c r="AL33" s="24">
        <v>100</v>
      </c>
      <c r="AM33" s="26">
        <v>100</v>
      </c>
    </row>
    <row r="34" spans="1:39" ht="30" customHeight="1" x14ac:dyDescent="0.3">
      <c r="A34" s="21" t="s">
        <v>464</v>
      </c>
      <c r="B34" s="21" t="s">
        <v>519</v>
      </c>
      <c r="C34" s="17" t="s">
        <v>38</v>
      </c>
      <c r="D34" s="21" t="s">
        <v>533</v>
      </c>
      <c r="E34" s="11">
        <v>11214</v>
      </c>
      <c r="F34" s="21" t="s">
        <v>646</v>
      </c>
      <c r="G34" s="11">
        <v>12650</v>
      </c>
      <c r="H34" s="21" t="s">
        <v>586</v>
      </c>
      <c r="I34" s="8">
        <v>0</v>
      </c>
      <c r="J34" s="21" t="s">
        <v>646</v>
      </c>
      <c r="K34" s="8">
        <v>0</v>
      </c>
      <c r="L34" s="21" t="s">
        <v>646</v>
      </c>
      <c r="M34" s="8">
        <v>0</v>
      </c>
      <c r="N34" s="21" t="s">
        <v>646</v>
      </c>
      <c r="O34" s="8">
        <v>0</v>
      </c>
      <c r="P34" s="21" t="s">
        <v>646</v>
      </c>
      <c r="Q34" s="8">
        <v>0</v>
      </c>
      <c r="R34" s="21" t="s">
        <v>646</v>
      </c>
      <c r="S34" s="8">
        <v>0</v>
      </c>
      <c r="T34" s="21" t="s">
        <v>646</v>
      </c>
      <c r="U34" s="8">
        <f>ROUND(IF(MIN(E34,G34,I34,K34,M34,O34,Q34,S34)&lt;0, MIN(E34,G34,I34,K34,M34,O34,Q34,S34), SMALL(E34:T34,COUNTIF(E34:T34,0)+1)) * 공사설정!$C$24 / 100*AK34/ 100, 1)</f>
        <v>11214</v>
      </c>
      <c r="V34" s="8">
        <f>ROUND(0 * 공사설정!$C$25 / 100*AL34/ 100,1)</f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f>ROUND(IF(MIN(W34:AD34)=AVERAGE(W34:AD34), 0, IF(MIN(W34:AD34)&lt;0, MIN(W34:AD34), SMALL(W34:AD34,COUNTIF(W34:AD34,0)+1))) * 공사설정!$C$26 / 100*AM34/ 100,1)</f>
        <v>0</v>
      </c>
      <c r="AF34" s="17" t="s">
        <v>646</v>
      </c>
      <c r="AG34" s="21" t="s">
        <v>646</v>
      </c>
      <c r="AH34" s="21" t="s">
        <v>646</v>
      </c>
      <c r="AJ34" s="21" t="s">
        <v>646</v>
      </c>
      <c r="AK34" s="24">
        <v>100</v>
      </c>
      <c r="AL34" s="24">
        <v>100</v>
      </c>
      <c r="AM34" s="26">
        <v>100</v>
      </c>
    </row>
    <row r="35" spans="1:39" ht="30" customHeight="1" x14ac:dyDescent="0.3">
      <c r="A35" s="21" t="s">
        <v>622</v>
      </c>
      <c r="B35" s="21" t="s">
        <v>651</v>
      </c>
      <c r="C35" s="17" t="s">
        <v>715</v>
      </c>
      <c r="D35" s="21" t="s">
        <v>533</v>
      </c>
      <c r="E35" s="11">
        <v>6067</v>
      </c>
      <c r="F35" s="21" t="s">
        <v>646</v>
      </c>
      <c r="G35" s="8">
        <v>9722.2000000000007</v>
      </c>
      <c r="H35" s="21" t="s">
        <v>349</v>
      </c>
      <c r="I35" s="8">
        <v>0</v>
      </c>
      <c r="J35" s="21" t="s">
        <v>646</v>
      </c>
      <c r="K35" s="8">
        <v>7455.6</v>
      </c>
      <c r="L35" s="21" t="s">
        <v>48</v>
      </c>
      <c r="M35" s="8">
        <v>0</v>
      </c>
      <c r="N35" s="21" t="s">
        <v>646</v>
      </c>
      <c r="O35" s="8">
        <v>0</v>
      </c>
      <c r="P35" s="21" t="s">
        <v>646</v>
      </c>
      <c r="Q35" s="8">
        <v>0</v>
      </c>
      <c r="R35" s="21" t="s">
        <v>646</v>
      </c>
      <c r="S35" s="8">
        <v>0</v>
      </c>
      <c r="T35" s="21" t="s">
        <v>646</v>
      </c>
      <c r="U35" s="8">
        <f>ROUND(IF(MIN(E35,G35,I35,K35,M35,O35,Q35,S35)&lt;0, MIN(E35,G35,I35,K35,M35,O35,Q35,S35), SMALL(E35:T35,COUNTIF(E35:T35,0)+1)) * 공사설정!$C$24 / 100*AK35/ 100, 1)</f>
        <v>6067</v>
      </c>
      <c r="V35" s="8">
        <f>ROUND(0 * 공사설정!$C$25 / 100*AL35/ 100,1)</f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f>ROUND(IF(MIN(W35:AD35)=AVERAGE(W35:AD35), 0, IF(MIN(W35:AD35)&lt;0, MIN(W35:AD35), SMALL(W35:AD35,COUNTIF(W35:AD35,0)+1))) * 공사설정!$C$26 / 100*AM35/ 100,1)</f>
        <v>0</v>
      </c>
      <c r="AF35" s="17" t="s">
        <v>646</v>
      </c>
      <c r="AG35" s="21" t="s">
        <v>646</v>
      </c>
      <c r="AH35" s="21" t="s">
        <v>646</v>
      </c>
      <c r="AJ35" s="21" t="s">
        <v>646</v>
      </c>
      <c r="AK35" s="24">
        <v>100</v>
      </c>
      <c r="AL35" s="24">
        <v>100</v>
      </c>
      <c r="AM35" s="26">
        <v>100</v>
      </c>
    </row>
    <row r="36" spans="1:39" ht="30" customHeight="1" x14ac:dyDescent="0.3">
      <c r="A36" s="21" t="s">
        <v>261</v>
      </c>
      <c r="B36" s="21" t="s">
        <v>279</v>
      </c>
      <c r="C36" s="17" t="s">
        <v>720</v>
      </c>
      <c r="D36" s="21" t="s">
        <v>533</v>
      </c>
      <c r="E36" s="8">
        <v>0</v>
      </c>
      <c r="F36" s="21" t="s">
        <v>646</v>
      </c>
      <c r="G36" s="11">
        <v>10000</v>
      </c>
      <c r="H36" s="21" t="s">
        <v>41</v>
      </c>
      <c r="I36" s="8">
        <v>0</v>
      </c>
      <c r="J36" s="21" t="s">
        <v>646</v>
      </c>
      <c r="K36" s="11">
        <v>10000</v>
      </c>
      <c r="L36" s="21" t="s">
        <v>405</v>
      </c>
      <c r="M36" s="11">
        <v>10000</v>
      </c>
      <c r="N36" s="21" t="s">
        <v>436</v>
      </c>
      <c r="O36" s="8">
        <v>0</v>
      </c>
      <c r="P36" s="21" t="s">
        <v>646</v>
      </c>
      <c r="Q36" s="8">
        <v>0</v>
      </c>
      <c r="R36" s="21" t="s">
        <v>646</v>
      </c>
      <c r="S36" s="8">
        <v>0</v>
      </c>
      <c r="T36" s="21" t="s">
        <v>646</v>
      </c>
      <c r="U36" s="8">
        <f>ROUND(IF(MIN(E36,G36,I36,K36,M36,O36,Q36,S36)&lt;0, MIN(E36,G36,I36,K36,M36,O36,Q36,S36), SMALL(E36:T36,COUNTIF(E36:T36,0)+1)) * 공사설정!$C$24 / 100*AK36/ 100, 1)</f>
        <v>10000</v>
      </c>
      <c r="V36" s="8">
        <f>ROUND(0 * 공사설정!$C$25 / 100*AL36/ 100,1)</f>
        <v>0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f>ROUND(IF(MIN(W36:AD36)=AVERAGE(W36:AD36), 0, IF(MIN(W36:AD36)&lt;0, MIN(W36:AD36), SMALL(W36:AD36,COUNTIF(W36:AD36,0)+1))) * 공사설정!$C$26 / 100*AM36/ 100,1)</f>
        <v>0</v>
      </c>
      <c r="AF36" s="17" t="s">
        <v>513</v>
      </c>
      <c r="AG36" s="21" t="s">
        <v>646</v>
      </c>
      <c r="AH36" s="21" t="s">
        <v>646</v>
      </c>
      <c r="AJ36" s="21" t="s">
        <v>646</v>
      </c>
      <c r="AK36" s="24">
        <v>100</v>
      </c>
      <c r="AL36" s="24">
        <v>100</v>
      </c>
      <c r="AM36" s="26">
        <v>100</v>
      </c>
    </row>
    <row r="37" spans="1:39" ht="30" customHeight="1" x14ac:dyDescent="0.3">
      <c r="A37" s="21" t="s">
        <v>292</v>
      </c>
      <c r="B37" s="21" t="s">
        <v>279</v>
      </c>
      <c r="C37" s="17" t="s">
        <v>486</v>
      </c>
      <c r="D37" s="21" t="s">
        <v>533</v>
      </c>
      <c r="E37" s="8">
        <v>0</v>
      </c>
      <c r="F37" s="21" t="s">
        <v>646</v>
      </c>
      <c r="G37" s="16">
        <v>7777.78</v>
      </c>
      <c r="H37" s="21" t="s">
        <v>41</v>
      </c>
      <c r="I37" s="8">
        <v>0</v>
      </c>
      <c r="J37" s="21" t="s">
        <v>646</v>
      </c>
      <c r="K37" s="8">
        <v>7777.8</v>
      </c>
      <c r="L37" s="21" t="s">
        <v>405</v>
      </c>
      <c r="M37" s="11">
        <v>10000</v>
      </c>
      <c r="N37" s="21" t="s">
        <v>436</v>
      </c>
      <c r="O37" s="8">
        <v>0</v>
      </c>
      <c r="P37" s="21" t="s">
        <v>646</v>
      </c>
      <c r="Q37" s="8">
        <v>0</v>
      </c>
      <c r="R37" s="21" t="s">
        <v>646</v>
      </c>
      <c r="S37" s="8">
        <v>0</v>
      </c>
      <c r="T37" s="21" t="s">
        <v>646</v>
      </c>
      <c r="U37" s="8">
        <f>ROUND(IF(MIN(E37,G37,I37,K37,M37,O37,Q37,S37)&lt;0, MIN(E37,G37,I37,K37,M37,O37,Q37,S37), SMALL(E37:T37,COUNTIF(E37:T37,0)+1)) * 공사설정!$C$24 / 100*AK37/ 100, 1)</f>
        <v>7777.8</v>
      </c>
      <c r="V37" s="8">
        <f>ROUND(0 * 공사설정!$C$25 / 100*AL37/ 100,1)</f>
        <v>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0</v>
      </c>
      <c r="AD37" s="8">
        <v>0</v>
      </c>
      <c r="AE37" s="8">
        <f>ROUND(IF(MIN(W37:AD37)=AVERAGE(W37:AD37), 0, IF(MIN(W37:AD37)&lt;0, MIN(W37:AD37), SMALL(W37:AD37,COUNTIF(W37:AD37,0)+1))) * 공사설정!$C$26 / 100*AM37/ 100,1)</f>
        <v>0</v>
      </c>
      <c r="AF37" s="17" t="s">
        <v>513</v>
      </c>
      <c r="AG37" s="21" t="s">
        <v>646</v>
      </c>
      <c r="AH37" s="21" t="s">
        <v>646</v>
      </c>
      <c r="AJ37" s="21" t="s">
        <v>646</v>
      </c>
      <c r="AK37" s="24">
        <v>100</v>
      </c>
      <c r="AL37" s="24">
        <v>100</v>
      </c>
      <c r="AM37" s="26">
        <v>100</v>
      </c>
    </row>
    <row r="38" spans="1:39" ht="30" customHeight="1" x14ac:dyDescent="0.3">
      <c r="A38" s="21" t="s">
        <v>575</v>
      </c>
      <c r="B38" s="21" t="s">
        <v>70</v>
      </c>
      <c r="C38" s="17" t="s">
        <v>234</v>
      </c>
      <c r="D38" s="21" t="s">
        <v>533</v>
      </c>
      <c r="E38" s="11">
        <v>2700</v>
      </c>
      <c r="F38" s="21" t="s">
        <v>646</v>
      </c>
      <c r="G38" s="8">
        <v>3794.4</v>
      </c>
      <c r="H38" s="21" t="s">
        <v>646</v>
      </c>
      <c r="I38" s="16">
        <v>3722.22</v>
      </c>
      <c r="J38" s="21" t="s">
        <v>337</v>
      </c>
      <c r="K38" s="8">
        <v>3494.4</v>
      </c>
      <c r="L38" s="21" t="s">
        <v>48</v>
      </c>
      <c r="M38" s="8">
        <v>0</v>
      </c>
      <c r="N38" s="21" t="s">
        <v>646</v>
      </c>
      <c r="O38" s="8">
        <v>0</v>
      </c>
      <c r="P38" s="21" t="s">
        <v>646</v>
      </c>
      <c r="Q38" s="8">
        <v>0</v>
      </c>
      <c r="R38" s="21" t="s">
        <v>646</v>
      </c>
      <c r="S38" s="8">
        <v>0</v>
      </c>
      <c r="T38" s="21" t="s">
        <v>646</v>
      </c>
      <c r="U38" s="8">
        <f>ROUND(IF(MIN(E38,G38,I38,K38,M38,O38,Q38,S38)&lt;0, MIN(E38,G38,I38,K38,M38,O38,Q38,S38), SMALL(E38:T38,COUNTIF(E38:T38,0)+1)) * 공사설정!$C$24 / 100*AK38/ 100, 1)</f>
        <v>2700</v>
      </c>
      <c r="V38" s="8">
        <f>ROUND(0 * 공사설정!$C$25 / 100*AL38/ 100,1)</f>
        <v>0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0</v>
      </c>
      <c r="AD38" s="8">
        <v>0</v>
      </c>
      <c r="AE38" s="8">
        <f>ROUND(IF(MIN(W38:AD38)=AVERAGE(W38:AD38), 0, IF(MIN(W38:AD38)&lt;0, MIN(W38:AD38), SMALL(W38:AD38,COUNTIF(W38:AD38,0)+1))) * 공사설정!$C$26 / 100*AM38/ 100,1)</f>
        <v>0</v>
      </c>
      <c r="AF38" s="17" t="s">
        <v>646</v>
      </c>
      <c r="AG38" s="21" t="s">
        <v>646</v>
      </c>
      <c r="AH38" s="21" t="s">
        <v>646</v>
      </c>
      <c r="AJ38" s="21" t="s">
        <v>646</v>
      </c>
      <c r="AK38" s="24">
        <v>100</v>
      </c>
      <c r="AL38" s="24">
        <v>100</v>
      </c>
      <c r="AM38" s="26">
        <v>100</v>
      </c>
    </row>
    <row r="39" spans="1:39" ht="30" customHeight="1" x14ac:dyDescent="0.3">
      <c r="A39" s="21" t="s">
        <v>721</v>
      </c>
      <c r="B39" s="21" t="s">
        <v>70</v>
      </c>
      <c r="C39" s="17" t="s">
        <v>502</v>
      </c>
      <c r="D39" s="21" t="s">
        <v>533</v>
      </c>
      <c r="E39" s="11">
        <v>2700</v>
      </c>
      <c r="F39" s="21" t="s">
        <v>646</v>
      </c>
      <c r="G39" s="8">
        <v>3477.8</v>
      </c>
      <c r="H39" s="21" t="s">
        <v>586</v>
      </c>
      <c r="I39" s="16">
        <v>3888.88</v>
      </c>
      <c r="J39" s="21" t="s">
        <v>337</v>
      </c>
      <c r="K39" s="8">
        <v>3583.3</v>
      </c>
      <c r="L39" s="21" t="s">
        <v>48</v>
      </c>
      <c r="M39" s="8">
        <v>0</v>
      </c>
      <c r="N39" s="21" t="s">
        <v>646</v>
      </c>
      <c r="O39" s="8">
        <v>0</v>
      </c>
      <c r="P39" s="21" t="s">
        <v>646</v>
      </c>
      <c r="Q39" s="8">
        <v>0</v>
      </c>
      <c r="R39" s="21" t="s">
        <v>646</v>
      </c>
      <c r="S39" s="8">
        <v>0</v>
      </c>
      <c r="T39" s="21" t="s">
        <v>646</v>
      </c>
      <c r="U39" s="8">
        <f>ROUND(IF(MIN(E39,G39,I39,K39,M39,O39,Q39,S39)&lt;0, MIN(E39,G39,I39,K39,M39,O39,Q39,S39), SMALL(E39:T39,COUNTIF(E39:T39,0)+1)) * 공사설정!$C$24 / 100*AK39/ 100, 1)</f>
        <v>2700</v>
      </c>
      <c r="V39" s="8">
        <f>ROUND(0 * 공사설정!$C$25 / 100*AL39/ 100,1)</f>
        <v>0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0</v>
      </c>
      <c r="AD39" s="8">
        <v>0</v>
      </c>
      <c r="AE39" s="8">
        <f>ROUND(IF(MIN(W39:AD39)=AVERAGE(W39:AD39), 0, IF(MIN(W39:AD39)&lt;0, MIN(W39:AD39), SMALL(W39:AD39,COUNTIF(W39:AD39,0)+1))) * 공사설정!$C$26 / 100*AM39/ 100,1)</f>
        <v>0</v>
      </c>
      <c r="AF39" s="17" t="s">
        <v>646</v>
      </c>
      <c r="AG39" s="21" t="s">
        <v>646</v>
      </c>
      <c r="AH39" s="21" t="s">
        <v>646</v>
      </c>
      <c r="AJ39" s="21" t="s">
        <v>646</v>
      </c>
      <c r="AK39" s="24">
        <v>100</v>
      </c>
      <c r="AL39" s="24">
        <v>100</v>
      </c>
      <c r="AM39" s="26">
        <v>100</v>
      </c>
    </row>
    <row r="40" spans="1:39" ht="30" customHeight="1" x14ac:dyDescent="0.3">
      <c r="A40" s="21" t="s">
        <v>617</v>
      </c>
      <c r="B40" s="21" t="s">
        <v>749</v>
      </c>
      <c r="C40" s="17" t="s">
        <v>274</v>
      </c>
      <c r="D40" s="21" t="s">
        <v>229</v>
      </c>
      <c r="E40" s="8">
        <v>0</v>
      </c>
      <c r="F40" s="21" t="s">
        <v>646</v>
      </c>
      <c r="G40" s="8">
        <v>0</v>
      </c>
      <c r="H40" s="21" t="s">
        <v>646</v>
      </c>
      <c r="I40" s="8">
        <v>0</v>
      </c>
      <c r="J40" s="21" t="s">
        <v>646</v>
      </c>
      <c r="K40" s="8">
        <v>0</v>
      </c>
      <c r="L40" s="21" t="s">
        <v>646</v>
      </c>
      <c r="M40" s="8">
        <v>0</v>
      </c>
      <c r="N40" s="21" t="s">
        <v>646</v>
      </c>
      <c r="O40" s="8">
        <v>0</v>
      </c>
      <c r="P40" s="21" t="s">
        <v>646</v>
      </c>
      <c r="Q40" s="8">
        <v>0</v>
      </c>
      <c r="R40" s="21" t="s">
        <v>646</v>
      </c>
      <c r="S40" s="8">
        <v>0</v>
      </c>
      <c r="T40" s="21" t="s">
        <v>646</v>
      </c>
      <c r="U40" s="8">
        <f>0*AK40/ 100</f>
        <v>0</v>
      </c>
      <c r="V40" s="8">
        <f>ROUND(0 * 공사설정!$C$25 / 100*AL40/ 100,1)</f>
        <v>0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>
        <v>0</v>
      </c>
      <c r="AE40" s="8">
        <f>ROUND(IF(MIN(W40:AD40)=AVERAGE(W40:AD40), 0, IF(MIN(W40:AD40)&lt;0, MIN(W40:AD40), SMALL(W40:AD40,COUNTIF(W40:AD40,0)+1))) * 공사설정!$C$26 / 100*AM40/ 100,1)</f>
        <v>0</v>
      </c>
      <c r="AF40" s="17" t="s">
        <v>646</v>
      </c>
      <c r="AG40" s="21" t="s">
        <v>646</v>
      </c>
      <c r="AH40" s="21" t="s">
        <v>646</v>
      </c>
      <c r="AJ40" s="21" t="s">
        <v>646</v>
      </c>
      <c r="AK40" s="24">
        <v>100</v>
      </c>
      <c r="AL40" s="24">
        <v>100</v>
      </c>
      <c r="AM40" s="26">
        <v>100</v>
      </c>
    </row>
    <row r="41" spans="1:39" ht="30" customHeight="1" x14ac:dyDescent="0.3">
      <c r="A41" s="21" t="s">
        <v>632</v>
      </c>
      <c r="B41" s="21" t="s">
        <v>677</v>
      </c>
      <c r="C41" s="17" t="s">
        <v>197</v>
      </c>
      <c r="D41" s="21" t="s">
        <v>107</v>
      </c>
      <c r="E41" s="8">
        <v>0</v>
      </c>
      <c r="F41" s="21" t="s">
        <v>646</v>
      </c>
      <c r="G41" s="8">
        <v>0</v>
      </c>
      <c r="H41" s="21" t="s">
        <v>646</v>
      </c>
      <c r="I41" s="8">
        <v>0</v>
      </c>
      <c r="J41" s="21" t="s">
        <v>646</v>
      </c>
      <c r="K41" s="8">
        <v>0</v>
      </c>
      <c r="L41" s="21" t="s">
        <v>646</v>
      </c>
      <c r="M41" s="11">
        <v>2000</v>
      </c>
      <c r="N41" s="21" t="s">
        <v>640</v>
      </c>
      <c r="O41" s="8">
        <v>0</v>
      </c>
      <c r="P41" s="21" t="s">
        <v>646</v>
      </c>
      <c r="Q41" s="8">
        <v>0</v>
      </c>
      <c r="R41" s="21" t="s">
        <v>646</v>
      </c>
      <c r="S41" s="8">
        <v>0</v>
      </c>
      <c r="T41" s="21" t="s">
        <v>646</v>
      </c>
      <c r="U41" s="8">
        <f>ROUND(IF(MIN(E41,G41,I41,K41,M41,O41,Q41,S41)&lt;0, MIN(E41,G41,I41,K41,M41,O41,Q41,S41), SMALL(E41:T41,COUNTIF(E41:T41,0)+1)) * 공사설정!$C$24 / 100*AK41/ 100, 1)</f>
        <v>2000</v>
      </c>
      <c r="V41" s="8">
        <f>ROUND(0 * 공사설정!$C$25 / 100*AL41/ 100,1)</f>
        <v>0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f>ROUND(IF(MIN(W41:AD41)=AVERAGE(W41:AD41), 0, IF(MIN(W41:AD41)&lt;0, MIN(W41:AD41), SMALL(W41:AD41,COUNTIF(W41:AD41,0)+1))) * 공사설정!$C$26 / 100*AM41/ 100,1)</f>
        <v>0</v>
      </c>
      <c r="AF41" s="17" t="s">
        <v>646</v>
      </c>
      <c r="AG41" s="21" t="s">
        <v>646</v>
      </c>
      <c r="AH41" s="21" t="s">
        <v>646</v>
      </c>
      <c r="AJ41" s="21" t="s">
        <v>646</v>
      </c>
      <c r="AK41" s="24">
        <v>100</v>
      </c>
      <c r="AL41" s="24">
        <v>100</v>
      </c>
      <c r="AM41" s="26">
        <v>100</v>
      </c>
    </row>
    <row r="42" spans="1:39" ht="30" customHeight="1" x14ac:dyDescent="0.3">
      <c r="A42" s="21" t="s">
        <v>590</v>
      </c>
      <c r="B42" s="21" t="s">
        <v>52</v>
      </c>
      <c r="C42" s="17" t="s">
        <v>446</v>
      </c>
      <c r="D42" s="21" t="s">
        <v>128</v>
      </c>
      <c r="E42" s="8">
        <v>0</v>
      </c>
      <c r="F42" s="21" t="s">
        <v>646</v>
      </c>
      <c r="G42" s="8">
        <v>0</v>
      </c>
      <c r="H42" s="21" t="s">
        <v>646</v>
      </c>
      <c r="I42" s="8">
        <v>0</v>
      </c>
      <c r="J42" s="21" t="s">
        <v>646</v>
      </c>
      <c r="K42" s="11">
        <v>30500</v>
      </c>
      <c r="L42" s="21" t="s">
        <v>74</v>
      </c>
      <c r="M42" s="11">
        <v>30000</v>
      </c>
      <c r="N42" s="21" t="s">
        <v>195</v>
      </c>
      <c r="O42" s="8">
        <v>0</v>
      </c>
      <c r="P42" s="21" t="s">
        <v>646</v>
      </c>
      <c r="Q42" s="8">
        <v>0</v>
      </c>
      <c r="R42" s="21" t="s">
        <v>646</v>
      </c>
      <c r="S42" s="8">
        <v>0</v>
      </c>
      <c r="T42" s="21" t="s">
        <v>646</v>
      </c>
      <c r="U42" s="8">
        <f>ROUND(IF(MIN(E42,G42,I42,K42,M42,O42,Q42,S42)&lt;0, MIN(E42,G42,I42,K42,M42,O42,Q42,S42), SMALL(E42:T42,COUNTIF(E42:T42,0)+1)) * 공사설정!$C$24 / 100*AK42/ 100, 1)</f>
        <v>30000</v>
      </c>
      <c r="V42" s="8">
        <f>ROUND(0 * 공사설정!$C$25 / 100*AL42/ 100,1)</f>
        <v>0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f>ROUND(IF(MIN(W42:AD42)=AVERAGE(W42:AD42), 0, IF(MIN(W42:AD42)&lt;0, MIN(W42:AD42), SMALL(W42:AD42,COUNTIF(W42:AD42,0)+1))) * 공사설정!$C$26 / 100*AM42/ 100,1)</f>
        <v>0</v>
      </c>
      <c r="AF42" s="17" t="s">
        <v>646</v>
      </c>
      <c r="AG42" s="21" t="s">
        <v>646</v>
      </c>
      <c r="AH42" s="21" t="s">
        <v>646</v>
      </c>
      <c r="AJ42" s="21" t="s">
        <v>646</v>
      </c>
      <c r="AK42" s="24">
        <v>100</v>
      </c>
      <c r="AL42" s="24">
        <v>100</v>
      </c>
      <c r="AM42" s="26">
        <v>100</v>
      </c>
    </row>
    <row r="43" spans="1:39" ht="30" customHeight="1" x14ac:dyDescent="0.3">
      <c r="A43" s="21" t="s">
        <v>154</v>
      </c>
      <c r="B43" s="21" t="s">
        <v>174</v>
      </c>
      <c r="C43" s="17" t="s">
        <v>58</v>
      </c>
      <c r="D43" s="21" t="s">
        <v>128</v>
      </c>
      <c r="E43" s="8">
        <v>0</v>
      </c>
      <c r="F43" s="21" t="s">
        <v>646</v>
      </c>
      <c r="G43" s="8">
        <v>0</v>
      </c>
      <c r="H43" s="21" t="s">
        <v>646</v>
      </c>
      <c r="I43" s="8">
        <v>0</v>
      </c>
      <c r="J43" s="21" t="s">
        <v>646</v>
      </c>
      <c r="K43" s="11">
        <v>35000</v>
      </c>
      <c r="L43" s="21" t="s">
        <v>329</v>
      </c>
      <c r="M43" s="8">
        <v>0</v>
      </c>
      <c r="N43" s="21" t="s">
        <v>646</v>
      </c>
      <c r="O43" s="8">
        <v>0</v>
      </c>
      <c r="P43" s="21" t="s">
        <v>646</v>
      </c>
      <c r="Q43" s="8">
        <v>0</v>
      </c>
      <c r="R43" s="21" t="s">
        <v>646</v>
      </c>
      <c r="S43" s="8">
        <v>0</v>
      </c>
      <c r="T43" s="21" t="s">
        <v>646</v>
      </c>
      <c r="U43" s="8">
        <f>ROUND(IF(MIN(E43,G43,I43,K43,M43,O43,Q43,S43)&lt;0, MIN(E43,G43,I43,K43,M43,O43,Q43,S43), SMALL(E43:T43,COUNTIF(E43:T43,0)+1)) * 공사설정!$C$24 / 100*AK43/ 100, 1)</f>
        <v>35000</v>
      </c>
      <c r="V43" s="8">
        <f>ROUND(0 * 공사설정!$C$25 / 100*AL43/ 100,1)</f>
        <v>0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0</v>
      </c>
      <c r="AD43" s="8">
        <v>0</v>
      </c>
      <c r="AE43" s="8">
        <f>ROUND(IF(MIN(W43:AD43)=AVERAGE(W43:AD43), 0, IF(MIN(W43:AD43)&lt;0, MIN(W43:AD43), SMALL(W43:AD43,COUNTIF(W43:AD43,0)+1))) * 공사설정!$C$26 / 100*AM43/ 100,1)</f>
        <v>0</v>
      </c>
      <c r="AF43" s="17" t="s">
        <v>318</v>
      </c>
      <c r="AG43" s="21" t="s">
        <v>646</v>
      </c>
      <c r="AH43" s="21" t="s">
        <v>646</v>
      </c>
      <c r="AJ43" s="21" t="s">
        <v>646</v>
      </c>
      <c r="AK43" s="24">
        <v>100</v>
      </c>
      <c r="AL43" s="24">
        <v>100</v>
      </c>
      <c r="AM43" s="26">
        <v>100</v>
      </c>
    </row>
    <row r="44" spans="1:39" ht="30" customHeight="1" x14ac:dyDescent="0.3">
      <c r="A44" s="21" t="s">
        <v>653</v>
      </c>
      <c r="B44" s="21" t="s">
        <v>792</v>
      </c>
      <c r="C44" s="17" t="s">
        <v>246</v>
      </c>
      <c r="D44" s="21" t="s">
        <v>128</v>
      </c>
      <c r="E44" s="8">
        <v>0</v>
      </c>
      <c r="F44" s="21"/>
      <c r="G44" s="8">
        <v>0</v>
      </c>
      <c r="H44" s="21"/>
      <c r="I44" s="8">
        <v>0</v>
      </c>
      <c r="J44" s="21"/>
      <c r="K44" s="8">
        <v>0</v>
      </c>
      <c r="L44" s="21"/>
      <c r="M44" s="8">
        <v>0</v>
      </c>
      <c r="N44" s="21"/>
      <c r="O44" s="11">
        <v>68480</v>
      </c>
      <c r="P44" s="21"/>
      <c r="Q44" s="8">
        <v>0</v>
      </c>
      <c r="R44" s="21"/>
      <c r="S44" s="8">
        <v>0</v>
      </c>
      <c r="T44" s="21"/>
      <c r="U44" s="8">
        <f>ROUND(IF(MIN(E44,G44,I44,K44,M44,O44,Q44,S44)&lt;0, MIN(E44,G44,I44,K44,M44,O44,Q44,S44), SMALL(E44:T44,COUNTIF(E44:T44,0)+1)) * 공사설정!$C$24 / 100*AK44/ 100, 1)</f>
        <v>68480</v>
      </c>
      <c r="V44" s="8">
        <f>ROUND(0 * 공사설정!$C$25 / 100*AL44/ 100,1)</f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f>ROUND(IF(MIN(W44:AD44)=AVERAGE(W44:AD44), 0, IF(MIN(W44:AD44)&lt;0, MIN(W44:AD44), SMALL(W44:AD44,COUNTIF(W44:AD44,0)+1))) * 공사설정!$C$26 / 100*AM44/ 100,1)</f>
        <v>0</v>
      </c>
      <c r="AF44" s="17"/>
      <c r="AG44" s="21" t="s">
        <v>646</v>
      </c>
      <c r="AH44" s="21" t="s">
        <v>646</v>
      </c>
      <c r="AJ44" s="21" t="s">
        <v>646</v>
      </c>
      <c r="AK44" s="24">
        <v>100</v>
      </c>
      <c r="AL44" s="24">
        <v>100</v>
      </c>
      <c r="AM44" s="26">
        <v>100</v>
      </c>
    </row>
    <row r="45" spans="1:39" ht="30" customHeight="1" x14ac:dyDescent="0.3">
      <c r="A45" s="21" t="s">
        <v>98</v>
      </c>
      <c r="B45" s="21" t="s">
        <v>592</v>
      </c>
      <c r="C45" s="17" t="s">
        <v>156</v>
      </c>
      <c r="D45" s="21" t="s">
        <v>229</v>
      </c>
      <c r="E45" s="8">
        <v>0</v>
      </c>
      <c r="F45" s="21"/>
      <c r="G45" s="8">
        <v>0</v>
      </c>
      <c r="H45" s="21"/>
      <c r="I45" s="8">
        <v>0</v>
      </c>
      <c r="J45" s="21"/>
      <c r="K45" s="8">
        <v>0</v>
      </c>
      <c r="L45" s="21"/>
      <c r="M45" s="8">
        <v>0</v>
      </c>
      <c r="N45" s="21"/>
      <c r="O45" s="11">
        <v>35000</v>
      </c>
      <c r="P45" s="21"/>
      <c r="Q45" s="8">
        <v>0</v>
      </c>
      <c r="R45" s="21"/>
      <c r="S45" s="8">
        <v>0</v>
      </c>
      <c r="T45" s="21"/>
      <c r="U45" s="8">
        <f>ROUND(IF(MIN(E45,G45,I45,K45,M45,O45,Q45,S45)&lt;0, MIN(E45,G45,I45,K45,M45,O45,Q45,S45), SMALL(E45:T45,COUNTIF(E45:T45,0)+1)) * 공사설정!$C$24 / 100*AK45/ 100, 1)</f>
        <v>35000</v>
      </c>
      <c r="V45" s="8">
        <f>ROUND(0 * 공사설정!$C$25 / 100*AL45/ 100,1)</f>
        <v>0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8">
        <v>0</v>
      </c>
      <c r="AC45" s="8">
        <v>0</v>
      </c>
      <c r="AD45" s="8">
        <v>0</v>
      </c>
      <c r="AE45" s="8">
        <f>ROUND(IF(MIN(W45:AD45)=AVERAGE(W45:AD45), 0, IF(MIN(W45:AD45)&lt;0, MIN(W45:AD45), SMALL(W45:AD45,COUNTIF(W45:AD45,0)+1))) * 공사설정!$C$26 / 100*AM45/ 100,1)</f>
        <v>0</v>
      </c>
      <c r="AF45" s="17"/>
      <c r="AG45" s="21" t="s">
        <v>646</v>
      </c>
      <c r="AH45" s="21" t="s">
        <v>646</v>
      </c>
      <c r="AJ45" s="21" t="s">
        <v>646</v>
      </c>
      <c r="AK45" s="24">
        <v>100</v>
      </c>
      <c r="AL45" s="24">
        <v>100</v>
      </c>
      <c r="AM45" s="26">
        <v>100</v>
      </c>
    </row>
    <row r="46" spans="1:39" ht="30" customHeight="1" x14ac:dyDescent="0.3">
      <c r="A46" s="21" t="s">
        <v>643</v>
      </c>
      <c r="B46" s="21" t="s">
        <v>122</v>
      </c>
      <c r="C46" s="17" t="s">
        <v>326</v>
      </c>
      <c r="D46" s="21" t="s">
        <v>128</v>
      </c>
      <c r="E46" s="8">
        <v>0</v>
      </c>
      <c r="F46" s="21"/>
      <c r="G46" s="8">
        <v>0</v>
      </c>
      <c r="H46" s="21"/>
      <c r="I46" s="8">
        <v>0</v>
      </c>
      <c r="J46" s="21"/>
      <c r="K46" s="8">
        <v>0</v>
      </c>
      <c r="L46" s="21"/>
      <c r="M46" s="8">
        <v>0</v>
      </c>
      <c r="N46" s="21"/>
      <c r="O46" s="11">
        <v>41660</v>
      </c>
      <c r="P46" s="21"/>
      <c r="Q46" s="8">
        <v>0</v>
      </c>
      <c r="R46" s="21"/>
      <c r="S46" s="8">
        <v>0</v>
      </c>
      <c r="T46" s="21"/>
      <c r="U46" s="8">
        <f>ROUND(IF(MIN(E46,G46,I46,K46,M46,O46,Q46,S46)&lt;0, MIN(E46,G46,I46,K46,M46,O46,Q46,S46), SMALL(E46:T46,COUNTIF(E46:T46,0)+1)) * 공사설정!$C$24 / 100*AK46/ 100, 1)</f>
        <v>41660</v>
      </c>
      <c r="V46" s="8">
        <f>ROUND(18183 * 공사설정!$C$25 / 100*AL46/ 100,1)</f>
        <v>18183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f>ROUND(IF(MIN(W46:AD46)=AVERAGE(W46:AD46), 0, IF(MIN(W46:AD46)&lt;0, MIN(W46:AD46), SMALL(W46:AD46,COUNTIF(W46:AD46,0)+1))) * 공사설정!$C$26 / 100*AM46/ 100,1)</f>
        <v>0</v>
      </c>
      <c r="AF46" s="17"/>
      <c r="AG46" s="21" t="s">
        <v>646</v>
      </c>
      <c r="AH46" s="21" t="s">
        <v>646</v>
      </c>
      <c r="AJ46" s="21" t="s">
        <v>646</v>
      </c>
      <c r="AK46" s="24">
        <v>100</v>
      </c>
      <c r="AL46" s="24">
        <v>100</v>
      </c>
      <c r="AM46" s="26">
        <v>100</v>
      </c>
    </row>
    <row r="47" spans="1:39" ht="30" customHeight="1" x14ac:dyDescent="0.3">
      <c r="A47" s="21" t="s">
        <v>389</v>
      </c>
      <c r="B47" s="21" t="s">
        <v>398</v>
      </c>
      <c r="C47" s="17" t="s">
        <v>541</v>
      </c>
      <c r="D47" s="21" t="s">
        <v>738</v>
      </c>
      <c r="E47" s="8">
        <v>0</v>
      </c>
      <c r="F47" s="21"/>
      <c r="G47" s="8">
        <v>0</v>
      </c>
      <c r="H47" s="21"/>
      <c r="I47" s="8">
        <v>0</v>
      </c>
      <c r="J47" s="21"/>
      <c r="K47" s="8">
        <v>0</v>
      </c>
      <c r="L47" s="21"/>
      <c r="M47" s="8">
        <v>0</v>
      </c>
      <c r="N47" s="21"/>
      <c r="O47" s="11">
        <v>1200000</v>
      </c>
      <c r="P47" s="21"/>
      <c r="Q47" s="8">
        <v>0</v>
      </c>
      <c r="R47" s="21"/>
      <c r="S47" s="8">
        <v>0</v>
      </c>
      <c r="T47" s="21"/>
      <c r="U47" s="8">
        <f>ROUND(IF(MIN(E47,G47,I47,K47,M47,O47,Q47,S47)&lt;0, MIN(E47,G47,I47,K47,M47,O47,Q47,S47), SMALL(E47:T47,COUNTIF(E47:T47,0)+1)) * 공사설정!$C$24 / 100*AK47/ 100, 1)</f>
        <v>1200000</v>
      </c>
      <c r="V47" s="8">
        <f>ROUND(0 * 공사설정!$C$25 / 100*AL47/ 100,1)</f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f>ROUND(IF(MIN(W47:AD47)=AVERAGE(W47:AD47), 0, IF(MIN(W47:AD47)&lt;0, MIN(W47:AD47), SMALL(W47:AD47,COUNTIF(W47:AD47,0)+1))) * 공사설정!$C$26 / 100*AM47/ 100,1)</f>
        <v>0</v>
      </c>
      <c r="AF47" s="17"/>
      <c r="AG47" s="21" t="s">
        <v>646</v>
      </c>
      <c r="AH47" s="21" t="s">
        <v>646</v>
      </c>
      <c r="AJ47" s="21" t="s">
        <v>646</v>
      </c>
      <c r="AK47" s="24">
        <v>100</v>
      </c>
      <c r="AL47" s="24">
        <v>100</v>
      </c>
      <c r="AM47" s="26">
        <v>100</v>
      </c>
    </row>
    <row r="48" spans="1:39" ht="30" customHeight="1" x14ac:dyDescent="0.3">
      <c r="A48" s="21" t="s">
        <v>499</v>
      </c>
      <c r="B48" s="21" t="s">
        <v>496</v>
      </c>
      <c r="C48" s="17" t="s">
        <v>35</v>
      </c>
      <c r="D48" s="21" t="s">
        <v>738</v>
      </c>
      <c r="E48" s="8">
        <v>0</v>
      </c>
      <c r="F48" s="21"/>
      <c r="G48" s="8">
        <v>0</v>
      </c>
      <c r="H48" s="21"/>
      <c r="I48" s="8">
        <v>0</v>
      </c>
      <c r="J48" s="21"/>
      <c r="K48" s="8">
        <v>0</v>
      </c>
      <c r="L48" s="21"/>
      <c r="M48" s="8">
        <v>0</v>
      </c>
      <c r="N48" s="21"/>
      <c r="O48" s="11">
        <v>430000</v>
      </c>
      <c r="P48" s="21"/>
      <c r="Q48" s="8">
        <v>0</v>
      </c>
      <c r="R48" s="21"/>
      <c r="S48" s="8">
        <v>0</v>
      </c>
      <c r="T48" s="21"/>
      <c r="U48" s="8">
        <f>ROUND(IF(MIN(E48,G48,I48,K48,M48,O48,Q48,S48)&lt;0, MIN(E48,G48,I48,K48,M48,O48,Q48,S48), SMALL(E48:T48,COUNTIF(E48:T48,0)+1)) * 공사설정!$C$24 / 100*AK48/ 100, 1)</f>
        <v>430000</v>
      </c>
      <c r="V48" s="8">
        <f>ROUND(0 * 공사설정!$C$25 / 100*AL48/ 100,1)</f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f>ROUND(IF(MIN(W48:AD48)=AVERAGE(W48:AD48), 0, IF(MIN(W48:AD48)&lt;0, MIN(W48:AD48), SMALL(W48:AD48,COUNTIF(W48:AD48,0)+1))) * 공사설정!$C$26 / 100*AM48/ 100,1)</f>
        <v>0</v>
      </c>
      <c r="AF48" s="17"/>
      <c r="AG48" s="21" t="s">
        <v>646</v>
      </c>
      <c r="AH48" s="21" t="s">
        <v>646</v>
      </c>
      <c r="AJ48" s="21" t="s">
        <v>646</v>
      </c>
      <c r="AK48" s="24">
        <v>100</v>
      </c>
      <c r="AL48" s="24">
        <v>100</v>
      </c>
      <c r="AM48" s="26">
        <v>100</v>
      </c>
    </row>
    <row r="49" spans="1:39" ht="30" customHeight="1" x14ac:dyDescent="0.3">
      <c r="A49" s="21" t="s">
        <v>17</v>
      </c>
      <c r="B49" s="21" t="s">
        <v>345</v>
      </c>
      <c r="C49" s="17" t="s">
        <v>618</v>
      </c>
      <c r="D49" s="21" t="s">
        <v>738</v>
      </c>
      <c r="E49" s="8">
        <v>0</v>
      </c>
      <c r="F49" s="21"/>
      <c r="G49" s="8">
        <v>0</v>
      </c>
      <c r="H49" s="21"/>
      <c r="I49" s="8">
        <v>0</v>
      </c>
      <c r="J49" s="21"/>
      <c r="K49" s="8">
        <v>0</v>
      </c>
      <c r="L49" s="21"/>
      <c r="M49" s="8">
        <v>0</v>
      </c>
      <c r="N49" s="21"/>
      <c r="O49" s="11">
        <v>960000</v>
      </c>
      <c r="P49" s="21"/>
      <c r="Q49" s="8">
        <v>0</v>
      </c>
      <c r="R49" s="21"/>
      <c r="S49" s="8">
        <v>0</v>
      </c>
      <c r="T49" s="21"/>
      <c r="U49" s="8">
        <f>ROUND(IF(MIN(E49,G49,I49,K49,M49,O49,Q49,S49)&lt;0, MIN(E49,G49,I49,K49,M49,O49,Q49,S49), SMALL(E49:T49,COUNTIF(E49:T49,0)+1)) * 공사설정!$C$24 / 100*AK49/ 100, 1)</f>
        <v>960000</v>
      </c>
      <c r="V49" s="8">
        <f>ROUND(0 * 공사설정!$C$25 / 100*AL49/ 100,1)</f>
        <v>0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0</v>
      </c>
      <c r="AD49" s="8">
        <v>0</v>
      </c>
      <c r="AE49" s="8">
        <f>ROUND(IF(MIN(W49:AD49)=AVERAGE(W49:AD49), 0, IF(MIN(W49:AD49)&lt;0, MIN(W49:AD49), SMALL(W49:AD49,COUNTIF(W49:AD49,0)+1))) * 공사설정!$C$26 / 100*AM49/ 100,1)</f>
        <v>0</v>
      </c>
      <c r="AF49" s="17"/>
      <c r="AG49" s="21" t="s">
        <v>646</v>
      </c>
      <c r="AH49" s="21" t="s">
        <v>646</v>
      </c>
      <c r="AJ49" s="21" t="s">
        <v>646</v>
      </c>
      <c r="AK49" s="24">
        <v>100</v>
      </c>
      <c r="AL49" s="24">
        <v>100</v>
      </c>
      <c r="AM49" s="26">
        <v>100</v>
      </c>
    </row>
    <row r="50" spans="1:39" ht="30" customHeight="1" x14ac:dyDescent="0.3">
      <c r="A50" s="21" t="s">
        <v>32</v>
      </c>
      <c r="B50" s="21" t="s">
        <v>652</v>
      </c>
      <c r="C50" s="17" t="s">
        <v>494</v>
      </c>
      <c r="D50" s="21" t="s">
        <v>738</v>
      </c>
      <c r="E50" s="8">
        <v>0</v>
      </c>
      <c r="F50" s="21"/>
      <c r="G50" s="8">
        <v>0</v>
      </c>
      <c r="H50" s="21"/>
      <c r="I50" s="8">
        <v>0</v>
      </c>
      <c r="J50" s="21"/>
      <c r="K50" s="8">
        <v>0</v>
      </c>
      <c r="L50" s="21"/>
      <c r="M50" s="8">
        <v>0</v>
      </c>
      <c r="N50" s="21"/>
      <c r="O50" s="11">
        <v>350000</v>
      </c>
      <c r="P50" s="21"/>
      <c r="Q50" s="8">
        <v>0</v>
      </c>
      <c r="R50" s="21"/>
      <c r="S50" s="8">
        <v>0</v>
      </c>
      <c r="T50" s="21"/>
      <c r="U50" s="8">
        <f>ROUND(IF(MIN(E50,G50,I50,K50,M50,O50,Q50,S50)&lt;0, MIN(E50,G50,I50,K50,M50,O50,Q50,S50), SMALL(E50:T50,COUNTIF(E50:T50,0)+1)) * 공사설정!$C$24 / 100*AK50/ 100, 1)</f>
        <v>350000</v>
      </c>
      <c r="V50" s="8">
        <f>ROUND(500000 * 공사설정!$C$25 / 100*AL50/ 100,1)</f>
        <v>500000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f>ROUND(IF(MIN(W50:AD50)=AVERAGE(W50:AD50), 0, IF(MIN(W50:AD50)&lt;0, MIN(W50:AD50), SMALL(W50:AD50,COUNTIF(W50:AD50,0)+1))) * 공사설정!$C$26 / 100*AM50/ 100,1)</f>
        <v>0</v>
      </c>
      <c r="AF50" s="17"/>
      <c r="AG50" s="21" t="s">
        <v>646</v>
      </c>
      <c r="AH50" s="21" t="s">
        <v>646</v>
      </c>
      <c r="AJ50" s="21" t="s">
        <v>646</v>
      </c>
      <c r="AK50" s="24">
        <v>100</v>
      </c>
      <c r="AL50" s="24">
        <v>100</v>
      </c>
      <c r="AM50" s="26">
        <v>100</v>
      </c>
    </row>
    <row r="51" spans="1:39" ht="30" customHeight="1" x14ac:dyDescent="0.3">
      <c r="A51" s="21" t="s">
        <v>708</v>
      </c>
      <c r="B51" s="21" t="s">
        <v>593</v>
      </c>
      <c r="C51" s="17" t="s">
        <v>89</v>
      </c>
      <c r="D51" s="21" t="s">
        <v>128</v>
      </c>
      <c r="E51" s="8">
        <v>0</v>
      </c>
      <c r="F51" s="21"/>
      <c r="G51" s="8">
        <v>0</v>
      </c>
      <c r="H51" s="21"/>
      <c r="I51" s="8">
        <v>0</v>
      </c>
      <c r="J51" s="21"/>
      <c r="K51" s="8">
        <v>0</v>
      </c>
      <c r="L51" s="21"/>
      <c r="M51" s="8">
        <v>0</v>
      </c>
      <c r="N51" s="21"/>
      <c r="O51" s="11">
        <v>19400</v>
      </c>
      <c r="P51" s="21"/>
      <c r="Q51" s="8">
        <v>0</v>
      </c>
      <c r="R51" s="21"/>
      <c r="S51" s="8">
        <v>0</v>
      </c>
      <c r="T51" s="21"/>
      <c r="U51" s="8">
        <f>ROUND(IF(MIN(E51,G51,I51,K51,M51,O51,Q51,S51)&lt;0, MIN(E51,G51,I51,K51,M51,O51,Q51,S51), SMALL(E51:T51,COUNTIF(E51:T51,0)+1)) * 공사설정!$C$24 / 100*AK51/ 100, 1)</f>
        <v>19400</v>
      </c>
      <c r="V51" s="8">
        <f>ROUND(43489 * 공사설정!$C$25 / 100*AL51/ 100,1)</f>
        <v>43489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  <c r="AD51" s="8">
        <v>0</v>
      </c>
      <c r="AE51" s="8">
        <f>ROUND(IF(MIN(W51:AD51)=AVERAGE(W51:AD51), 0, IF(MIN(W51:AD51)&lt;0, MIN(W51:AD51), SMALL(W51:AD51,COUNTIF(W51:AD51,0)+1))) * 공사설정!$C$26 / 100*AM51/ 100,1)</f>
        <v>0</v>
      </c>
      <c r="AF51" s="17"/>
      <c r="AG51" s="21" t="s">
        <v>646</v>
      </c>
      <c r="AH51" s="21" t="s">
        <v>646</v>
      </c>
      <c r="AJ51" s="21" t="s">
        <v>646</v>
      </c>
      <c r="AK51" s="24">
        <v>100</v>
      </c>
      <c r="AL51" s="24">
        <v>100</v>
      </c>
      <c r="AM51" s="26">
        <v>100</v>
      </c>
    </row>
    <row r="52" spans="1:39" ht="30" customHeight="1" x14ac:dyDescent="0.3">
      <c r="A52" s="21" t="s">
        <v>201</v>
      </c>
      <c r="B52" s="21" t="s">
        <v>725</v>
      </c>
      <c r="C52" s="17" t="s">
        <v>307</v>
      </c>
      <c r="D52" s="21" t="s">
        <v>128</v>
      </c>
      <c r="E52" s="11">
        <v>695</v>
      </c>
      <c r="F52" s="21"/>
      <c r="G52" s="8">
        <v>0</v>
      </c>
      <c r="H52" s="21" t="s">
        <v>646</v>
      </c>
      <c r="I52" s="8">
        <v>0</v>
      </c>
      <c r="J52" s="21" t="s">
        <v>646</v>
      </c>
      <c r="K52" s="8">
        <v>0</v>
      </c>
      <c r="L52" s="21" t="s">
        <v>646</v>
      </c>
      <c r="M52" s="8">
        <v>0</v>
      </c>
      <c r="N52" s="21" t="s">
        <v>646</v>
      </c>
      <c r="O52" s="8">
        <v>0</v>
      </c>
      <c r="P52" s="21" t="s">
        <v>646</v>
      </c>
      <c r="Q52" s="8">
        <v>0</v>
      </c>
      <c r="R52" s="21"/>
      <c r="S52" s="8">
        <v>0</v>
      </c>
      <c r="T52" s="21"/>
      <c r="U52" s="8">
        <f>ROUND(IF(MIN(E52,G52,I52,K52,M52,O52,Q52,S52)&lt;0, MIN(E52,G52,I52,K52,M52,O52,Q52,S52), SMALL(E52:T52,COUNTIF(E52:T52,0)+1)) * 공사설정!$C$24 / 100*AK52/ 100, 1)</f>
        <v>695</v>
      </c>
      <c r="V52" s="8">
        <f>ROUND(13200 * 공사설정!$C$25 / 100*AL52/ 100,1)</f>
        <v>13200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  <c r="AE52" s="8">
        <f>ROUND(IF(MIN(W52:AD52)=AVERAGE(W52:AD52), 0, IF(MIN(W52:AD52)&lt;0, MIN(W52:AD52), SMALL(W52:AD52,COUNTIF(W52:AD52,0)+1))) * 공사설정!$C$26 / 100*AM52/ 100,1)</f>
        <v>0</v>
      </c>
      <c r="AF52" s="17"/>
      <c r="AG52" s="21" t="s">
        <v>493</v>
      </c>
      <c r="AH52" s="21" t="s">
        <v>646</v>
      </c>
      <c r="AJ52" s="21" t="s">
        <v>646</v>
      </c>
      <c r="AK52" s="24">
        <v>100</v>
      </c>
      <c r="AL52" s="24">
        <v>100</v>
      </c>
      <c r="AM52" s="26">
        <v>100</v>
      </c>
    </row>
    <row r="53" spans="1:39" ht="30" customHeight="1" x14ac:dyDescent="0.3">
      <c r="A53" s="21" t="s">
        <v>589</v>
      </c>
      <c r="B53" s="21" t="s">
        <v>567</v>
      </c>
      <c r="C53" s="17" t="s">
        <v>489</v>
      </c>
      <c r="D53" s="21" t="s">
        <v>717</v>
      </c>
      <c r="E53" s="8">
        <v>0</v>
      </c>
      <c r="F53" s="21" t="s">
        <v>646</v>
      </c>
      <c r="G53" s="8">
        <v>0</v>
      </c>
      <c r="H53" s="21" t="s">
        <v>646</v>
      </c>
      <c r="I53" s="8">
        <v>0</v>
      </c>
      <c r="J53" s="21" t="s">
        <v>646</v>
      </c>
      <c r="K53" s="8">
        <v>0</v>
      </c>
      <c r="L53" s="21" t="s">
        <v>646</v>
      </c>
      <c r="M53" s="8">
        <v>0</v>
      </c>
      <c r="N53" s="21" t="s">
        <v>646</v>
      </c>
      <c r="O53" s="8">
        <v>0</v>
      </c>
      <c r="P53" s="21" t="s">
        <v>646</v>
      </c>
      <c r="Q53" s="8">
        <v>0</v>
      </c>
      <c r="R53" s="21" t="s">
        <v>646</v>
      </c>
      <c r="S53" s="8">
        <v>0</v>
      </c>
      <c r="T53" s="21" t="s">
        <v>646</v>
      </c>
      <c r="U53" s="8">
        <f t="shared" ref="U53:U63" si="0">0*AK53/ 100</f>
        <v>0</v>
      </c>
      <c r="V53" s="8">
        <f>ROUND(172068 * 공사설정!$C$25 / 100*AL53/ 100,1)</f>
        <v>172068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f>ROUND(IF(MIN(W53:AD53)=AVERAGE(W53:AD53), 0, IF(MIN(W53:AD53)&lt;0, MIN(W53:AD53), SMALL(W53:AD53,COUNTIF(W53:AD53,0)+1))) * 공사설정!$C$26 / 100*AM53/ 100,1)</f>
        <v>0</v>
      </c>
      <c r="AF53" s="17" t="s">
        <v>646</v>
      </c>
      <c r="AG53" s="21" t="s">
        <v>510</v>
      </c>
      <c r="AH53" s="21" t="s">
        <v>646</v>
      </c>
      <c r="AJ53" s="21" t="s">
        <v>646</v>
      </c>
      <c r="AK53" s="24">
        <v>100</v>
      </c>
      <c r="AL53" s="24">
        <v>100</v>
      </c>
      <c r="AM53" s="26">
        <v>100</v>
      </c>
    </row>
    <row r="54" spans="1:39" ht="30" customHeight="1" x14ac:dyDescent="0.3">
      <c r="A54" s="21" t="s">
        <v>497</v>
      </c>
      <c r="B54" s="21" t="s">
        <v>93</v>
      </c>
      <c r="C54" s="17" t="s">
        <v>489</v>
      </c>
      <c r="D54" s="21" t="s">
        <v>717</v>
      </c>
      <c r="E54" s="8">
        <v>0</v>
      </c>
      <c r="F54" s="21" t="s">
        <v>646</v>
      </c>
      <c r="G54" s="8">
        <v>0</v>
      </c>
      <c r="H54" s="21" t="s">
        <v>646</v>
      </c>
      <c r="I54" s="8">
        <v>0</v>
      </c>
      <c r="J54" s="21" t="s">
        <v>646</v>
      </c>
      <c r="K54" s="8">
        <v>0</v>
      </c>
      <c r="L54" s="21" t="s">
        <v>646</v>
      </c>
      <c r="M54" s="8">
        <v>0</v>
      </c>
      <c r="N54" s="21" t="s">
        <v>646</v>
      </c>
      <c r="O54" s="8">
        <v>0</v>
      </c>
      <c r="P54" s="21" t="s">
        <v>646</v>
      </c>
      <c r="Q54" s="8">
        <v>0</v>
      </c>
      <c r="R54" s="21" t="s">
        <v>646</v>
      </c>
      <c r="S54" s="8">
        <v>0</v>
      </c>
      <c r="T54" s="21" t="s">
        <v>646</v>
      </c>
      <c r="U54" s="8">
        <f t="shared" si="0"/>
        <v>0</v>
      </c>
      <c r="V54" s="8">
        <f>ROUND(226122 * 공사설정!$C$25 / 100*AL54/ 100,1)</f>
        <v>226122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0</v>
      </c>
      <c r="AE54" s="8">
        <f>ROUND(IF(MIN(W54:AD54)=AVERAGE(W54:AD54), 0, IF(MIN(W54:AD54)&lt;0, MIN(W54:AD54), SMALL(W54:AD54,COUNTIF(W54:AD54,0)+1))) * 공사설정!$C$26 / 100*AM54/ 100,1)</f>
        <v>0</v>
      </c>
      <c r="AF54" s="17" t="s">
        <v>646</v>
      </c>
      <c r="AG54" s="21" t="s">
        <v>510</v>
      </c>
      <c r="AH54" s="21" t="s">
        <v>646</v>
      </c>
      <c r="AJ54" s="21" t="s">
        <v>646</v>
      </c>
      <c r="AK54" s="24">
        <v>100</v>
      </c>
      <c r="AL54" s="24">
        <v>100</v>
      </c>
      <c r="AM54" s="26">
        <v>100</v>
      </c>
    </row>
    <row r="55" spans="1:39" ht="30" customHeight="1" x14ac:dyDescent="0.3">
      <c r="A55" s="21" t="s">
        <v>544</v>
      </c>
      <c r="B55" s="21" t="s">
        <v>731</v>
      </c>
      <c r="C55" s="17" t="s">
        <v>489</v>
      </c>
      <c r="D55" s="21" t="s">
        <v>717</v>
      </c>
      <c r="E55" s="8">
        <v>0</v>
      </c>
      <c r="F55" s="21" t="s">
        <v>646</v>
      </c>
      <c r="G55" s="8">
        <v>0</v>
      </c>
      <c r="H55" s="21" t="s">
        <v>646</v>
      </c>
      <c r="I55" s="8">
        <v>0</v>
      </c>
      <c r="J55" s="21" t="s">
        <v>646</v>
      </c>
      <c r="K55" s="8">
        <v>0</v>
      </c>
      <c r="L55" s="21" t="s">
        <v>646</v>
      </c>
      <c r="M55" s="8">
        <v>0</v>
      </c>
      <c r="N55" s="21" t="s">
        <v>646</v>
      </c>
      <c r="O55" s="8">
        <v>0</v>
      </c>
      <c r="P55" s="21" t="s">
        <v>646</v>
      </c>
      <c r="Q55" s="8">
        <v>0</v>
      </c>
      <c r="R55" s="21" t="s">
        <v>646</v>
      </c>
      <c r="S55" s="8">
        <v>0</v>
      </c>
      <c r="T55" s="21" t="s">
        <v>646</v>
      </c>
      <c r="U55" s="8">
        <f t="shared" si="0"/>
        <v>0</v>
      </c>
      <c r="V55" s="8">
        <f>ROUND(239808 * 공사설정!$C$25 / 100*AL55/ 100,1)</f>
        <v>239808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  <c r="AD55" s="8">
        <v>0</v>
      </c>
      <c r="AE55" s="8">
        <f>ROUND(IF(MIN(W55:AD55)=AVERAGE(W55:AD55), 0, IF(MIN(W55:AD55)&lt;0, MIN(W55:AD55), SMALL(W55:AD55,COUNTIF(W55:AD55,0)+1))) * 공사설정!$C$26 / 100*AM55/ 100,1)</f>
        <v>0</v>
      </c>
      <c r="AF55" s="17" t="s">
        <v>646</v>
      </c>
      <c r="AG55" s="21" t="s">
        <v>510</v>
      </c>
      <c r="AH55" s="21" t="s">
        <v>646</v>
      </c>
      <c r="AJ55" s="21" t="s">
        <v>646</v>
      </c>
      <c r="AK55" s="24">
        <v>100</v>
      </c>
      <c r="AL55" s="24">
        <v>100</v>
      </c>
      <c r="AM55" s="26">
        <v>100</v>
      </c>
    </row>
    <row r="56" spans="1:39" ht="30" customHeight="1" x14ac:dyDescent="0.3">
      <c r="A56" s="21" t="s">
        <v>77</v>
      </c>
      <c r="B56" s="21" t="s">
        <v>672</v>
      </c>
      <c r="C56" s="17" t="s">
        <v>489</v>
      </c>
      <c r="D56" s="21" t="s">
        <v>717</v>
      </c>
      <c r="E56" s="8">
        <v>0</v>
      </c>
      <c r="F56" s="21" t="s">
        <v>646</v>
      </c>
      <c r="G56" s="8">
        <v>0</v>
      </c>
      <c r="H56" s="21" t="s">
        <v>646</v>
      </c>
      <c r="I56" s="8">
        <v>0</v>
      </c>
      <c r="J56" s="21" t="s">
        <v>646</v>
      </c>
      <c r="K56" s="8">
        <v>0</v>
      </c>
      <c r="L56" s="21" t="s">
        <v>646</v>
      </c>
      <c r="M56" s="8">
        <v>0</v>
      </c>
      <c r="N56" s="21" t="s">
        <v>646</v>
      </c>
      <c r="O56" s="8">
        <v>0</v>
      </c>
      <c r="P56" s="21" t="s">
        <v>646</v>
      </c>
      <c r="Q56" s="8">
        <v>0</v>
      </c>
      <c r="R56" s="21" t="s">
        <v>646</v>
      </c>
      <c r="S56" s="8">
        <v>0</v>
      </c>
      <c r="T56" s="21" t="s">
        <v>646</v>
      </c>
      <c r="U56" s="8">
        <f t="shared" si="0"/>
        <v>0</v>
      </c>
      <c r="V56" s="8">
        <f>ROUND(282536 * 공사설정!$C$25 / 100*AL56/ 100,1)</f>
        <v>282536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  <c r="AD56" s="8">
        <v>0</v>
      </c>
      <c r="AE56" s="8">
        <f>ROUND(IF(MIN(W56:AD56)=AVERAGE(W56:AD56), 0, IF(MIN(W56:AD56)&lt;0, MIN(W56:AD56), SMALL(W56:AD56,COUNTIF(W56:AD56,0)+1))) * 공사설정!$C$26 / 100*AM56/ 100,1)</f>
        <v>0</v>
      </c>
      <c r="AF56" s="17" t="s">
        <v>646</v>
      </c>
      <c r="AG56" s="21" t="s">
        <v>510</v>
      </c>
      <c r="AH56" s="21" t="s">
        <v>646</v>
      </c>
      <c r="AJ56" s="21" t="s">
        <v>646</v>
      </c>
      <c r="AK56" s="24">
        <v>100</v>
      </c>
      <c r="AL56" s="24">
        <v>100</v>
      </c>
      <c r="AM56" s="26">
        <v>100</v>
      </c>
    </row>
    <row r="57" spans="1:39" ht="30" customHeight="1" x14ac:dyDescent="0.3">
      <c r="A57" s="21" t="s">
        <v>429</v>
      </c>
      <c r="B57" s="21" t="s">
        <v>255</v>
      </c>
      <c r="C57" s="17" t="s">
        <v>489</v>
      </c>
      <c r="D57" s="21" t="s">
        <v>717</v>
      </c>
      <c r="E57" s="8">
        <v>0</v>
      </c>
      <c r="F57" s="21" t="s">
        <v>646</v>
      </c>
      <c r="G57" s="8">
        <v>0</v>
      </c>
      <c r="H57" s="21" t="s">
        <v>646</v>
      </c>
      <c r="I57" s="8">
        <v>0</v>
      </c>
      <c r="J57" s="21" t="s">
        <v>646</v>
      </c>
      <c r="K57" s="8">
        <v>0</v>
      </c>
      <c r="L57" s="21" t="s">
        <v>646</v>
      </c>
      <c r="M57" s="8">
        <v>0</v>
      </c>
      <c r="N57" s="21" t="s">
        <v>646</v>
      </c>
      <c r="O57" s="8">
        <v>0</v>
      </c>
      <c r="P57" s="21" t="s">
        <v>646</v>
      </c>
      <c r="Q57" s="8">
        <v>0</v>
      </c>
      <c r="R57" s="21" t="s">
        <v>646</v>
      </c>
      <c r="S57" s="8">
        <v>0</v>
      </c>
      <c r="T57" s="21" t="s">
        <v>646</v>
      </c>
      <c r="U57" s="8">
        <f t="shared" si="0"/>
        <v>0</v>
      </c>
      <c r="V57" s="8">
        <f>ROUND(277642 * 공사설정!$C$25 / 100*AL57/ 100,1)</f>
        <v>277642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f>ROUND(IF(MIN(W57:AD57)=AVERAGE(W57:AD57), 0, IF(MIN(W57:AD57)&lt;0, MIN(W57:AD57), SMALL(W57:AD57,COUNTIF(W57:AD57,0)+1))) * 공사설정!$C$26 / 100*AM57/ 100,1)</f>
        <v>0</v>
      </c>
      <c r="AF57" s="17" t="s">
        <v>646</v>
      </c>
      <c r="AG57" s="21" t="s">
        <v>510</v>
      </c>
      <c r="AH57" s="21" t="s">
        <v>646</v>
      </c>
      <c r="AJ57" s="21" t="s">
        <v>646</v>
      </c>
      <c r="AK57" s="24">
        <v>100</v>
      </c>
      <c r="AL57" s="24">
        <v>100</v>
      </c>
      <c r="AM57" s="26">
        <v>100</v>
      </c>
    </row>
    <row r="58" spans="1:39" ht="30" customHeight="1" x14ac:dyDescent="0.3">
      <c r="A58" s="21" t="s">
        <v>444</v>
      </c>
      <c r="B58" s="21" t="s">
        <v>679</v>
      </c>
      <c r="C58" s="17" t="s">
        <v>489</v>
      </c>
      <c r="D58" s="21" t="s">
        <v>717</v>
      </c>
      <c r="E58" s="8">
        <v>0</v>
      </c>
      <c r="F58" s="21" t="s">
        <v>646</v>
      </c>
      <c r="G58" s="8">
        <v>0</v>
      </c>
      <c r="H58" s="21" t="s">
        <v>646</v>
      </c>
      <c r="I58" s="8">
        <v>0</v>
      </c>
      <c r="J58" s="21" t="s">
        <v>646</v>
      </c>
      <c r="K58" s="8">
        <v>0</v>
      </c>
      <c r="L58" s="21" t="s">
        <v>646</v>
      </c>
      <c r="M58" s="8">
        <v>0</v>
      </c>
      <c r="N58" s="21" t="s">
        <v>646</v>
      </c>
      <c r="O58" s="8">
        <v>0</v>
      </c>
      <c r="P58" s="21" t="s">
        <v>646</v>
      </c>
      <c r="Q58" s="8">
        <v>0</v>
      </c>
      <c r="R58" s="21" t="s">
        <v>646</v>
      </c>
      <c r="S58" s="8">
        <v>0</v>
      </c>
      <c r="T58" s="21" t="s">
        <v>646</v>
      </c>
      <c r="U58" s="8">
        <f t="shared" si="0"/>
        <v>0</v>
      </c>
      <c r="V58" s="8">
        <f>ROUND(253539 * 공사설정!$C$25 / 100*AL58/ 100,1)</f>
        <v>253539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f>ROUND(IF(MIN(W58:AD58)=AVERAGE(W58:AD58), 0, IF(MIN(W58:AD58)&lt;0, MIN(W58:AD58), SMALL(W58:AD58,COUNTIF(W58:AD58,0)+1))) * 공사설정!$C$26 / 100*AM58/ 100,1)</f>
        <v>0</v>
      </c>
      <c r="AF58" s="17" t="s">
        <v>646</v>
      </c>
      <c r="AG58" s="21" t="s">
        <v>510</v>
      </c>
      <c r="AH58" s="21" t="s">
        <v>646</v>
      </c>
      <c r="AJ58" s="21" t="s">
        <v>646</v>
      </c>
      <c r="AK58" s="24">
        <v>100</v>
      </c>
      <c r="AL58" s="24">
        <v>100</v>
      </c>
      <c r="AM58" s="26">
        <v>100</v>
      </c>
    </row>
    <row r="59" spans="1:39" ht="30" customHeight="1" x14ac:dyDescent="0.3">
      <c r="A59" s="21" t="s">
        <v>396</v>
      </c>
      <c r="B59" s="21" t="s">
        <v>609</v>
      </c>
      <c r="C59" s="17" t="s">
        <v>489</v>
      </c>
      <c r="D59" s="21" t="s">
        <v>717</v>
      </c>
      <c r="E59" s="8">
        <v>0</v>
      </c>
      <c r="F59" s="21" t="s">
        <v>646</v>
      </c>
      <c r="G59" s="8">
        <v>0</v>
      </c>
      <c r="H59" s="21" t="s">
        <v>646</v>
      </c>
      <c r="I59" s="8">
        <v>0</v>
      </c>
      <c r="J59" s="21" t="s">
        <v>646</v>
      </c>
      <c r="K59" s="8">
        <v>0</v>
      </c>
      <c r="L59" s="21" t="s">
        <v>646</v>
      </c>
      <c r="M59" s="8">
        <v>0</v>
      </c>
      <c r="N59" s="21" t="s">
        <v>646</v>
      </c>
      <c r="O59" s="8">
        <v>0</v>
      </c>
      <c r="P59" s="21" t="s">
        <v>646</v>
      </c>
      <c r="Q59" s="8">
        <v>0</v>
      </c>
      <c r="R59" s="21" t="s">
        <v>646</v>
      </c>
      <c r="S59" s="8">
        <v>0</v>
      </c>
      <c r="T59" s="21" t="s">
        <v>646</v>
      </c>
      <c r="U59" s="8">
        <f t="shared" si="0"/>
        <v>0</v>
      </c>
      <c r="V59" s="8">
        <f>ROUND(263017 * 공사설정!$C$25 / 100*AL59/ 100,1)</f>
        <v>263017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  <c r="AD59" s="8">
        <v>0</v>
      </c>
      <c r="AE59" s="8">
        <f>ROUND(IF(MIN(W59:AD59)=AVERAGE(W59:AD59), 0, IF(MIN(W59:AD59)&lt;0, MIN(W59:AD59), SMALL(W59:AD59,COUNTIF(W59:AD59,0)+1))) * 공사설정!$C$26 / 100*AM59/ 100,1)</f>
        <v>0</v>
      </c>
      <c r="AF59" s="17" t="s">
        <v>646</v>
      </c>
      <c r="AG59" s="21" t="s">
        <v>510</v>
      </c>
      <c r="AH59" s="21" t="s">
        <v>646</v>
      </c>
      <c r="AJ59" s="21" t="s">
        <v>646</v>
      </c>
      <c r="AK59" s="24">
        <v>100</v>
      </c>
      <c r="AL59" s="24">
        <v>100</v>
      </c>
      <c r="AM59" s="26">
        <v>100</v>
      </c>
    </row>
    <row r="60" spans="1:39" ht="30" customHeight="1" x14ac:dyDescent="0.3">
      <c r="A60" s="21" t="s">
        <v>108</v>
      </c>
      <c r="B60" s="21" t="s">
        <v>709</v>
      </c>
      <c r="C60" s="17" t="s">
        <v>489</v>
      </c>
      <c r="D60" s="21" t="s">
        <v>717</v>
      </c>
      <c r="E60" s="8">
        <v>0</v>
      </c>
      <c r="F60" s="21" t="s">
        <v>646</v>
      </c>
      <c r="G60" s="8">
        <v>0</v>
      </c>
      <c r="H60" s="21" t="s">
        <v>646</v>
      </c>
      <c r="I60" s="8">
        <v>0</v>
      </c>
      <c r="J60" s="21" t="s">
        <v>646</v>
      </c>
      <c r="K60" s="8">
        <v>0</v>
      </c>
      <c r="L60" s="21" t="s">
        <v>646</v>
      </c>
      <c r="M60" s="8">
        <v>0</v>
      </c>
      <c r="N60" s="21" t="s">
        <v>646</v>
      </c>
      <c r="O60" s="8">
        <v>0</v>
      </c>
      <c r="P60" s="21" t="s">
        <v>646</v>
      </c>
      <c r="Q60" s="8">
        <v>0</v>
      </c>
      <c r="R60" s="21" t="s">
        <v>646</v>
      </c>
      <c r="S60" s="8">
        <v>0</v>
      </c>
      <c r="T60" s="21" t="s">
        <v>646</v>
      </c>
      <c r="U60" s="8">
        <f t="shared" si="0"/>
        <v>0</v>
      </c>
      <c r="V60" s="8">
        <f>ROUND(256883 * 공사설정!$C$25 / 100*AL60/ 100,1)</f>
        <v>256883</v>
      </c>
      <c r="W60" s="8">
        <v>0</v>
      </c>
      <c r="X60" s="8">
        <v>0</v>
      </c>
      <c r="Y60" s="8">
        <v>0</v>
      </c>
      <c r="Z60" s="8">
        <v>0</v>
      </c>
      <c r="AA60" s="8">
        <v>0</v>
      </c>
      <c r="AB60" s="8">
        <v>0</v>
      </c>
      <c r="AC60" s="8">
        <v>0</v>
      </c>
      <c r="AD60" s="8">
        <v>0</v>
      </c>
      <c r="AE60" s="8">
        <f>ROUND(IF(MIN(W60:AD60)=AVERAGE(W60:AD60), 0, IF(MIN(W60:AD60)&lt;0, MIN(W60:AD60), SMALL(W60:AD60,COUNTIF(W60:AD60,0)+1))) * 공사설정!$C$26 / 100*AM60/ 100,1)</f>
        <v>0</v>
      </c>
      <c r="AF60" s="17" t="s">
        <v>646</v>
      </c>
      <c r="AG60" s="21" t="s">
        <v>510</v>
      </c>
      <c r="AH60" s="21" t="s">
        <v>646</v>
      </c>
      <c r="AJ60" s="21" t="s">
        <v>646</v>
      </c>
      <c r="AK60" s="24">
        <v>100</v>
      </c>
      <c r="AL60" s="24">
        <v>100</v>
      </c>
      <c r="AM60" s="26">
        <v>100</v>
      </c>
    </row>
    <row r="61" spans="1:39" ht="30" customHeight="1" x14ac:dyDescent="0.3">
      <c r="A61" s="21" t="s">
        <v>441</v>
      </c>
      <c r="B61" s="21" t="s">
        <v>109</v>
      </c>
      <c r="C61" s="17" t="s">
        <v>452</v>
      </c>
      <c r="D61" s="21" t="s">
        <v>716</v>
      </c>
      <c r="E61" s="8">
        <v>0</v>
      </c>
      <c r="F61" s="21" t="s">
        <v>646</v>
      </c>
      <c r="G61" s="8">
        <v>0</v>
      </c>
      <c r="H61" s="21" t="s">
        <v>646</v>
      </c>
      <c r="I61" s="8">
        <v>0</v>
      </c>
      <c r="J61" s="21" t="s">
        <v>646</v>
      </c>
      <c r="K61" s="8">
        <v>0</v>
      </c>
      <c r="L61" s="21" t="s">
        <v>646</v>
      </c>
      <c r="M61" s="8">
        <v>0</v>
      </c>
      <c r="N61" s="21" t="s">
        <v>646</v>
      </c>
      <c r="O61" s="8">
        <v>0</v>
      </c>
      <c r="P61" s="21" t="s">
        <v>646</v>
      </c>
      <c r="Q61" s="8">
        <v>0</v>
      </c>
      <c r="R61" s="21" t="s">
        <v>646</v>
      </c>
      <c r="S61" s="8">
        <v>0</v>
      </c>
      <c r="T61" s="21" t="s">
        <v>646</v>
      </c>
      <c r="U61" s="8">
        <f t="shared" si="0"/>
        <v>0</v>
      </c>
      <c r="V61" s="8">
        <f>ROUND(0 * 공사설정!$C$25 / 100*AL61/ 100,1)</f>
        <v>0</v>
      </c>
      <c r="W61" s="8">
        <v>0</v>
      </c>
      <c r="X61" s="8">
        <v>0</v>
      </c>
      <c r="Y61" s="8">
        <v>0</v>
      </c>
      <c r="Z61" s="8">
        <v>0</v>
      </c>
      <c r="AA61" s="8">
        <v>0</v>
      </c>
      <c r="AB61" s="8">
        <v>250420</v>
      </c>
      <c r="AC61" s="8">
        <v>0</v>
      </c>
      <c r="AD61" s="8">
        <v>0</v>
      </c>
      <c r="AE61" s="8">
        <f>ROUND(IF(MAX(W61:AD61)&gt;0, MAX(W61:AD61), LARGE(W61:AD61,COUNTIF(W61:AD61,0)+1)) * 공사설정!$C$26 / 100*AM61/ 100,1)</f>
        <v>250420</v>
      </c>
      <c r="AF61" s="17" t="s">
        <v>392</v>
      </c>
      <c r="AG61" s="21" t="s">
        <v>305</v>
      </c>
      <c r="AH61" s="21" t="s">
        <v>646</v>
      </c>
      <c r="AJ61" s="21" t="s">
        <v>646</v>
      </c>
      <c r="AK61" s="24">
        <v>100</v>
      </c>
      <c r="AL61" s="24">
        <v>100</v>
      </c>
      <c r="AM61" s="26">
        <v>100</v>
      </c>
    </row>
    <row r="62" spans="1:39" ht="30" customHeight="1" x14ac:dyDescent="0.3">
      <c r="A62" s="21" t="s">
        <v>123</v>
      </c>
      <c r="B62" s="21" t="s">
        <v>241</v>
      </c>
      <c r="C62" s="17" t="s">
        <v>327</v>
      </c>
      <c r="D62" s="21" t="s">
        <v>612</v>
      </c>
      <c r="E62" s="8">
        <v>0</v>
      </c>
      <c r="F62" s="21" t="s">
        <v>646</v>
      </c>
      <c r="G62" s="8">
        <v>0</v>
      </c>
      <c r="H62" s="21" t="s">
        <v>646</v>
      </c>
      <c r="I62" s="8">
        <v>0</v>
      </c>
      <c r="J62" s="21" t="s">
        <v>646</v>
      </c>
      <c r="K62" s="8">
        <v>0</v>
      </c>
      <c r="L62" s="21" t="s">
        <v>646</v>
      </c>
      <c r="M62" s="8">
        <v>0</v>
      </c>
      <c r="N62" s="21" t="s">
        <v>646</v>
      </c>
      <c r="O62" s="8">
        <v>0</v>
      </c>
      <c r="P62" s="21" t="s">
        <v>646</v>
      </c>
      <c r="Q62" s="8">
        <v>0</v>
      </c>
      <c r="R62" s="21" t="s">
        <v>646</v>
      </c>
      <c r="S62" s="8">
        <v>0</v>
      </c>
      <c r="T62" s="21" t="s">
        <v>646</v>
      </c>
      <c r="U62" s="8">
        <f t="shared" si="0"/>
        <v>0</v>
      </c>
      <c r="V62" s="8">
        <f>ROUND(0 * 공사설정!$C$25 / 100*AL62/ 100,1)</f>
        <v>0</v>
      </c>
      <c r="W62" s="8">
        <v>0</v>
      </c>
      <c r="X62" s="8">
        <v>0</v>
      </c>
      <c r="Y62" s="8">
        <v>0</v>
      </c>
      <c r="Z62" s="8">
        <v>0</v>
      </c>
      <c r="AA62" s="8">
        <v>0</v>
      </c>
      <c r="AB62" s="8">
        <v>0</v>
      </c>
      <c r="AC62" s="8">
        <v>192887</v>
      </c>
      <c r="AD62" s="8">
        <v>0</v>
      </c>
      <c r="AE62" s="8">
        <f>ROUND(IF(MAX(W62:AD62)&gt;0, MAX(W62:AD62), LARGE(W62:AD62,COUNTIF(W62:AD62,0)+1)) * 공사설정!$C$26 / 100*AM62/ 100,1)</f>
        <v>192887</v>
      </c>
      <c r="AF62" s="17" t="s">
        <v>646</v>
      </c>
      <c r="AG62" s="21" t="s">
        <v>305</v>
      </c>
      <c r="AH62" s="21" t="s">
        <v>646</v>
      </c>
      <c r="AJ62" s="21" t="s">
        <v>646</v>
      </c>
      <c r="AK62" s="24">
        <v>100</v>
      </c>
      <c r="AL62" s="24">
        <v>100</v>
      </c>
      <c r="AM62" s="26">
        <v>100</v>
      </c>
    </row>
    <row r="63" spans="1:39" ht="30" customHeight="1" x14ac:dyDescent="0.3">
      <c r="A63" s="21" t="s">
        <v>787</v>
      </c>
      <c r="B63" s="21" t="s">
        <v>330</v>
      </c>
      <c r="C63" s="17" t="s">
        <v>8</v>
      </c>
      <c r="D63" s="21" t="s">
        <v>612</v>
      </c>
      <c r="E63" s="8">
        <v>0</v>
      </c>
      <c r="F63" s="21" t="s">
        <v>646</v>
      </c>
      <c r="G63" s="8">
        <v>0</v>
      </c>
      <c r="H63" s="21" t="s">
        <v>646</v>
      </c>
      <c r="I63" s="8">
        <v>0</v>
      </c>
      <c r="J63" s="21" t="s">
        <v>646</v>
      </c>
      <c r="K63" s="8">
        <v>0</v>
      </c>
      <c r="L63" s="21" t="s">
        <v>646</v>
      </c>
      <c r="M63" s="8">
        <v>0</v>
      </c>
      <c r="N63" s="21" t="s">
        <v>646</v>
      </c>
      <c r="O63" s="8">
        <v>0</v>
      </c>
      <c r="P63" s="21" t="s">
        <v>782</v>
      </c>
      <c r="Q63" s="8">
        <v>0</v>
      </c>
      <c r="R63" s="21" t="s">
        <v>646</v>
      </c>
      <c r="S63" s="8">
        <v>0</v>
      </c>
      <c r="T63" s="21" t="s">
        <v>646</v>
      </c>
      <c r="U63" s="8">
        <f t="shared" si="0"/>
        <v>0</v>
      </c>
      <c r="V63" s="8">
        <f>ROUND(0 * 공사설정!$C$25 / 100*AL63/ 100,1)</f>
        <v>0</v>
      </c>
      <c r="W63" s="8">
        <v>0</v>
      </c>
      <c r="X63" s="8">
        <v>0</v>
      </c>
      <c r="Y63" s="8">
        <v>0</v>
      </c>
      <c r="Z63" s="8">
        <v>0</v>
      </c>
      <c r="AA63" s="8">
        <v>0</v>
      </c>
      <c r="AB63" s="8">
        <v>95340</v>
      </c>
      <c r="AC63" s="8">
        <v>95340</v>
      </c>
      <c r="AD63" s="8">
        <v>0</v>
      </c>
      <c r="AE63" s="8">
        <f>ROUND(IF(MAX(W63:AD63)&gt;0, MAX(W63:AD63), LARGE(W63:AD63,COUNTIF(W63:AD63,0)+1)) * 공사설정!$C$26 / 100*AM63/ 100,1)</f>
        <v>95340</v>
      </c>
      <c r="AF63" s="17" t="s">
        <v>646</v>
      </c>
      <c r="AG63" s="21" t="s">
        <v>305</v>
      </c>
      <c r="AH63" s="21" t="s">
        <v>646</v>
      </c>
      <c r="AJ63" s="21" t="s">
        <v>646</v>
      </c>
      <c r="AK63" s="24">
        <v>100</v>
      </c>
      <c r="AL63" s="24">
        <v>100</v>
      </c>
      <c r="AM63" s="26">
        <v>100</v>
      </c>
    </row>
  </sheetData>
  <mergeCells count="17">
    <mergeCell ref="AL3:AL4"/>
    <mergeCell ref="AM3:AM4"/>
    <mergeCell ref="AG3:AG4"/>
    <mergeCell ref="AH3:AH4"/>
    <mergeCell ref="AI3:AI4"/>
    <mergeCell ref="AJ3:AJ4"/>
    <mergeCell ref="AK3:AK4"/>
    <mergeCell ref="A1:AF1"/>
    <mergeCell ref="A2:AF2"/>
    <mergeCell ref="A3:A4"/>
    <mergeCell ref="B3:B4"/>
    <mergeCell ref="C3:C4"/>
    <mergeCell ref="D3:D4"/>
    <mergeCell ref="E3:U3"/>
    <mergeCell ref="V3:V4"/>
    <mergeCell ref="W3:AE3"/>
    <mergeCell ref="AF3:AF4"/>
  </mergeCells>
  <phoneticPr fontId="15" type="noConversion"/>
  <pageMargins left="0.78740157480314954" right="0" top="0.39370078740157477" bottom="0.37735849056603776" header="0" footer="0"/>
  <pageSetup paperSize="9" scale="42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/>
  </sheetPr>
  <dimension ref="A1:N26"/>
  <sheetViews>
    <sheetView zoomScaleNormal="100" workbookViewId="0">
      <selection activeCell="A3" sqref="A3:A4"/>
    </sheetView>
  </sheetViews>
  <sheetFormatPr defaultColWidth="9.125" defaultRowHeight="16.5" x14ac:dyDescent="0.3"/>
  <sheetData>
    <row r="1" spans="1:11" x14ac:dyDescent="0.3">
      <c r="A1" s="15" t="s">
        <v>373</v>
      </c>
    </row>
    <row r="2" spans="1:11" x14ac:dyDescent="0.3">
      <c r="B2" s="15" t="s">
        <v>418</v>
      </c>
      <c r="C2" s="15" t="s">
        <v>72</v>
      </c>
    </row>
    <row r="3" spans="1:11" x14ac:dyDescent="0.3">
      <c r="B3" s="15" t="s">
        <v>146</v>
      </c>
      <c r="C3" s="15" t="s">
        <v>772</v>
      </c>
    </row>
    <row r="4" spans="1:11" x14ac:dyDescent="0.3">
      <c r="B4" s="15" t="s">
        <v>86</v>
      </c>
      <c r="C4" s="15" t="s">
        <v>736</v>
      </c>
    </row>
    <row r="5" spans="1:11" x14ac:dyDescent="0.3">
      <c r="B5" s="15" t="s">
        <v>680</v>
      </c>
      <c r="C5" s="15" t="s">
        <v>736</v>
      </c>
    </row>
    <row r="6" spans="1:11" x14ac:dyDescent="0.3">
      <c r="B6" s="15" t="s">
        <v>411</v>
      </c>
      <c r="C6" s="15" t="s">
        <v>579</v>
      </c>
    </row>
    <row r="7" spans="1:11" x14ac:dyDescent="0.3">
      <c r="B7" s="15" t="s">
        <v>193</v>
      </c>
      <c r="C7" s="15" t="s">
        <v>547</v>
      </c>
    </row>
    <row r="8" spans="1:11" x14ac:dyDescent="0.3">
      <c r="B8" s="15" t="s">
        <v>458</v>
      </c>
      <c r="C8" s="15" t="s">
        <v>305</v>
      </c>
      <c r="D8" s="20">
        <v>1</v>
      </c>
    </row>
    <row r="9" spans="1:11" x14ac:dyDescent="0.3">
      <c r="B9" s="15" t="s">
        <v>314</v>
      </c>
      <c r="C9" s="15" t="s">
        <v>305</v>
      </c>
      <c r="D9" s="20">
        <v>2</v>
      </c>
    </row>
    <row r="10" spans="1:11" x14ac:dyDescent="0.3">
      <c r="B10" s="15" t="s">
        <v>199</v>
      </c>
      <c r="C10" s="15" t="s">
        <v>773</v>
      </c>
      <c r="D10" s="15" t="s">
        <v>514</v>
      </c>
      <c r="E10" s="15" t="s">
        <v>599</v>
      </c>
      <c r="F10" s="15" t="s">
        <v>10</v>
      </c>
      <c r="G10" s="15" t="s">
        <v>232</v>
      </c>
      <c r="H10" s="15" t="s">
        <v>62</v>
      </c>
      <c r="I10" s="15" t="s">
        <v>247</v>
      </c>
      <c r="J10" s="15" t="s">
        <v>394</v>
      </c>
      <c r="K10" s="15" t="s">
        <v>184</v>
      </c>
    </row>
    <row r="11" spans="1:11" x14ac:dyDescent="0.3">
      <c r="B11" s="15" t="s">
        <v>765</v>
      </c>
      <c r="C11" s="20">
        <v>1427</v>
      </c>
      <c r="D11" s="20">
        <v>932</v>
      </c>
      <c r="E11" s="20">
        <v>0</v>
      </c>
    </row>
    <row r="12" spans="1:11" x14ac:dyDescent="0.3">
      <c r="B12" s="15" t="s">
        <v>763</v>
      </c>
      <c r="C12" s="15" t="s">
        <v>468</v>
      </c>
      <c r="D12" s="20">
        <v>5</v>
      </c>
    </row>
    <row r="13" spans="1:11" x14ac:dyDescent="0.3">
      <c r="B13" s="15" t="s">
        <v>438</v>
      </c>
      <c r="C13" s="15" t="s">
        <v>468</v>
      </c>
      <c r="D13" s="20">
        <v>5</v>
      </c>
    </row>
    <row r="14" spans="1:11" x14ac:dyDescent="0.3">
      <c r="B14" s="15" t="s">
        <v>317</v>
      </c>
      <c r="C14" s="15" t="s">
        <v>468</v>
      </c>
      <c r="D14" s="20">
        <v>4</v>
      </c>
    </row>
    <row r="15" spans="1:11" x14ac:dyDescent="0.3">
      <c r="B15" s="15" t="s">
        <v>611</v>
      </c>
      <c r="C15" s="15" t="s">
        <v>305</v>
      </c>
      <c r="D15" s="20">
        <v>6</v>
      </c>
    </row>
    <row r="16" spans="1:11" x14ac:dyDescent="0.3">
      <c r="B16" s="15" t="s">
        <v>608</v>
      </c>
      <c r="C16" s="15" t="s">
        <v>72</v>
      </c>
      <c r="D16" s="15" t="s">
        <v>338</v>
      </c>
      <c r="E16" s="15" t="s">
        <v>360</v>
      </c>
      <c r="F16" s="15" t="s">
        <v>538</v>
      </c>
      <c r="G16" s="15" t="s">
        <v>493</v>
      </c>
    </row>
    <row r="17" spans="2:14" x14ac:dyDescent="0.3">
      <c r="B17" s="15" t="s">
        <v>383</v>
      </c>
      <c r="C17" s="20">
        <v>1.1100000000000001</v>
      </c>
      <c r="D17" s="20">
        <v>1.1200000000000001</v>
      </c>
    </row>
    <row r="18" spans="2:14" x14ac:dyDescent="0.3">
      <c r="B18" s="15" t="s">
        <v>259</v>
      </c>
      <c r="C18" s="20">
        <v>1</v>
      </c>
      <c r="D18" s="20">
        <v>1.5</v>
      </c>
      <c r="E18" s="20">
        <v>1.1599999999999999</v>
      </c>
      <c r="F18" s="20">
        <v>1.6</v>
      </c>
      <c r="G18" s="20">
        <v>1.6</v>
      </c>
      <c r="H18" s="20">
        <v>1.6</v>
      </c>
      <c r="I18" s="20">
        <v>1.94</v>
      </c>
      <c r="J18" s="20">
        <v>1.94</v>
      </c>
      <c r="K18" s="20">
        <v>1.94</v>
      </c>
      <c r="L18" s="20">
        <v>1</v>
      </c>
      <c r="M18" s="20">
        <v>1</v>
      </c>
      <c r="N18" s="20">
        <v>1</v>
      </c>
    </row>
    <row r="19" spans="2:14" x14ac:dyDescent="0.3">
      <c r="B19" s="15" t="s">
        <v>733</v>
      </c>
      <c r="C19" s="20">
        <v>1.25</v>
      </c>
      <c r="D19" s="20">
        <v>1.071</v>
      </c>
    </row>
    <row r="20" spans="2:14" x14ac:dyDescent="0.3">
      <c r="B20" s="15" t="s">
        <v>777</v>
      </c>
    </row>
    <row r="21" spans="2:14" x14ac:dyDescent="0.3">
      <c r="B21" s="15" t="s">
        <v>552</v>
      </c>
      <c r="C21" s="15" t="s">
        <v>305</v>
      </c>
      <c r="D21" s="20">
        <v>1</v>
      </c>
    </row>
    <row r="22" spans="2:14" x14ac:dyDescent="0.3">
      <c r="B22" s="15" t="s">
        <v>629</v>
      </c>
      <c r="C22" s="15" t="s">
        <v>208</v>
      </c>
      <c r="D22" s="15" t="s">
        <v>336</v>
      </c>
    </row>
    <row r="23" spans="2:14" x14ac:dyDescent="0.3">
      <c r="B23" s="15" t="s">
        <v>493</v>
      </c>
      <c r="C23" s="15" t="s">
        <v>302</v>
      </c>
      <c r="D23" s="15" t="s">
        <v>302</v>
      </c>
    </row>
    <row r="24" spans="2:14" x14ac:dyDescent="0.3">
      <c r="B24" s="15" t="s">
        <v>26</v>
      </c>
      <c r="C24" s="20">
        <v>100</v>
      </c>
    </row>
    <row r="25" spans="2:14" x14ac:dyDescent="0.3">
      <c r="B25" s="15" t="s">
        <v>522</v>
      </c>
      <c r="C25" s="20">
        <v>100</v>
      </c>
    </row>
    <row r="26" spans="2:14" x14ac:dyDescent="0.3">
      <c r="B26" s="15" t="s">
        <v>503</v>
      </c>
      <c r="C26" s="20">
        <v>100</v>
      </c>
    </row>
  </sheetData>
  <phoneticPr fontId="15" type="noConversion"/>
  <pageMargins left="0.78740157480314954" right="0" top="0.39370078740157477" bottom="0.37735849056603776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12</vt:i4>
      </vt:variant>
    </vt:vector>
  </HeadingPairs>
  <TitlesOfParts>
    <vt:vector size="21" baseType="lpstr">
      <vt:lpstr>설계서용지</vt:lpstr>
      <vt:lpstr>갑지A</vt:lpstr>
      <vt:lpstr>원가계산서</vt:lpstr>
      <vt:lpstr>공종별집계표</vt:lpstr>
      <vt:lpstr>공종별내역서</vt:lpstr>
      <vt:lpstr>일위대가목록</vt:lpstr>
      <vt:lpstr>일위대가</vt:lpstr>
      <vt:lpstr>단가대비표</vt:lpstr>
      <vt:lpstr>공사설정</vt:lpstr>
      <vt:lpstr>공종별내역서!Print_Area</vt:lpstr>
      <vt:lpstr>공종별집계표!Print_Area</vt:lpstr>
      <vt:lpstr>설계서용지!Print_Area</vt:lpstr>
      <vt:lpstr>원가계산서!Print_Area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원가계산서!Print_Titles</vt:lpstr>
      <vt:lpstr>일위대가!Print_Titles</vt:lpstr>
      <vt:lpstr>일위대가목록!Print_Titles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PC-1</dc:creator>
  <cp:lastModifiedBy>정훈 안</cp:lastModifiedBy>
  <cp:lastPrinted>2026-04-30T02:31:15Z</cp:lastPrinted>
  <dcterms:created xsi:type="dcterms:W3CDTF">2026-04-30T02:27:49Z</dcterms:created>
  <dcterms:modified xsi:type="dcterms:W3CDTF">2026-07-08T01:43:12Z</dcterms:modified>
</cp:coreProperties>
</file>